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ikk\Desktop\"/>
    </mc:Choice>
  </mc:AlternateContent>
  <xr:revisionPtr revIDLastSave="0" documentId="10_ncr:8100000_{59FF87A4-C0F0-46CE-B8E5-B7E28E459A62}" xr6:coauthVersionLast="33" xr6:coauthVersionMax="33" xr10:uidLastSave="{00000000-0000-0000-0000-000000000000}"/>
  <workbookProtection workbookAlgorithmName="SHA-512" workbookHashValue="T3FYpf6+rO/wG9nktXj2YKYVqoQ0TSQkdXG+Lw3XzkVGwB8+Q3eajLoTIhzx/k7uFSx3XTL4i/mgZLIxbwHQNA==" workbookSaltValue="kguucBjCzAM/kQ5Fsths1A==" workbookSpinCount="100000" lockStructure="1"/>
  <bookViews>
    <workbookView xWindow="0" yWindow="0" windowWidth="14280" windowHeight="4188" tabRatio="583" firstSheet="1" activeTab="4" xr2:uid="{00000000-000D-0000-FFFF-FFFF00000000}"/>
  </bookViews>
  <sheets>
    <sheet name="Izračuni" sheetId="3" state="hidden" r:id="rId1"/>
    <sheet name="Analiza nakupa" sheetId="1" r:id="rId2"/>
    <sheet name="Scenariji - Različna življ doba" sheetId="5" r:id="rId3"/>
    <sheet name="Scenariji - Različno št. stor." sheetId="12" r:id="rId4"/>
    <sheet name="Analiza delovanja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3" l="1"/>
  <c r="D41" i="13"/>
  <c r="I41" i="13" s="1"/>
  <c r="D7" i="13"/>
  <c r="D35" i="13"/>
  <c r="C12" i="13" l="1"/>
  <c r="D9" i="13" l="1"/>
  <c r="C56" i="3"/>
  <c r="C22" i="13" l="1"/>
  <c r="C23" i="13"/>
  <c r="C24" i="13"/>
  <c r="C25" i="13"/>
  <c r="C26" i="13"/>
  <c r="C27" i="13"/>
  <c r="C28" i="13"/>
  <c r="E29" i="13" l="1"/>
  <c r="F29" i="13"/>
  <c r="D29" i="13"/>
  <c r="C38" i="3"/>
  <c r="C40" i="3" s="1"/>
  <c r="C6" i="3"/>
  <c r="J6" i="1" s="1"/>
  <c r="B59" i="1"/>
  <c r="M15" i="5" s="1"/>
  <c r="B55" i="1"/>
  <c r="I15" i="5" s="1"/>
  <c r="B51" i="1"/>
  <c r="E15" i="5" s="1"/>
  <c r="B50" i="1"/>
  <c r="D4" i="5" s="1"/>
  <c r="D6" i="5" s="1"/>
  <c r="B54" i="1"/>
  <c r="H4" i="5" s="1"/>
  <c r="H6" i="5" s="1"/>
  <c r="B58" i="1"/>
  <c r="L4" i="5" s="1"/>
  <c r="L6" i="5" s="1"/>
  <c r="H59" i="1"/>
  <c r="M4" i="12" s="1"/>
  <c r="H58" i="1"/>
  <c r="L15" i="12" s="1"/>
  <c r="H57" i="1"/>
  <c r="K4" i="12" s="1"/>
  <c r="H56" i="1"/>
  <c r="J15" i="12" s="1"/>
  <c r="H55" i="1"/>
  <c r="I4" i="12" s="1"/>
  <c r="H54" i="1"/>
  <c r="H4" i="12" s="1"/>
  <c r="C5" i="12"/>
  <c r="H6" i="12" s="1"/>
  <c r="H7" i="12"/>
  <c r="H8" i="12"/>
  <c r="H10" i="12"/>
  <c r="H53" i="1"/>
  <c r="G15" i="12" s="1"/>
  <c r="H52" i="1"/>
  <c r="F15" i="12" s="1"/>
  <c r="H51" i="1"/>
  <c r="E15" i="12" s="1"/>
  <c r="H50" i="1"/>
  <c r="D15" i="12" s="1"/>
  <c r="H49" i="1"/>
  <c r="C4" i="12" s="1"/>
  <c r="B57" i="1"/>
  <c r="K15" i="5" s="1"/>
  <c r="B56" i="1"/>
  <c r="J15" i="5" s="1"/>
  <c r="B53" i="1"/>
  <c r="G4" i="5" s="1"/>
  <c r="G6" i="5" s="1"/>
  <c r="B52" i="1"/>
  <c r="F4" i="5" s="1"/>
  <c r="F6" i="5" s="1"/>
  <c r="B49" i="1"/>
  <c r="C4" i="5" s="1"/>
  <c r="C6" i="5" s="1"/>
  <c r="C9" i="3"/>
  <c r="D8" i="5" s="1"/>
  <c r="H7" i="3"/>
  <c r="C17" i="5" s="1"/>
  <c r="H8" i="3"/>
  <c r="G18" i="12" s="1"/>
  <c r="C8" i="3"/>
  <c r="J8" i="1" s="1"/>
  <c r="N56" i="5"/>
  <c r="N57" i="5" s="1"/>
  <c r="D54" i="12"/>
  <c r="E54" i="12"/>
  <c r="F54" i="12"/>
  <c r="G54" i="12"/>
  <c r="H54" i="12"/>
  <c r="I54" i="12"/>
  <c r="J54" i="12"/>
  <c r="K54" i="12"/>
  <c r="L54" i="12"/>
  <c r="M54" i="12"/>
  <c r="C54" i="12"/>
  <c r="N54" i="12"/>
  <c r="N8" i="12"/>
  <c r="D8" i="12"/>
  <c r="E8" i="12"/>
  <c r="F8" i="12"/>
  <c r="G8" i="12"/>
  <c r="I8" i="12"/>
  <c r="J8" i="12"/>
  <c r="K8" i="12"/>
  <c r="L8" i="12"/>
  <c r="M8" i="12"/>
  <c r="C8" i="12"/>
  <c r="C49" i="5"/>
  <c r="D49" i="5"/>
  <c r="D37" i="13"/>
  <c r="R41" i="13"/>
  <c r="R42" i="13" s="1"/>
  <c r="M61" i="12"/>
  <c r="L61" i="12"/>
  <c r="L68" i="12"/>
  <c r="M66" i="5"/>
  <c r="C19" i="5"/>
  <c r="L66" i="12"/>
  <c r="L62" i="12"/>
  <c r="K61" i="12"/>
  <c r="K68" i="12"/>
  <c r="K66" i="12"/>
  <c r="K62" i="12"/>
  <c r="J61" i="12"/>
  <c r="J68" i="12"/>
  <c r="J66" i="12"/>
  <c r="J62" i="12"/>
  <c r="I61" i="12"/>
  <c r="I68" i="12"/>
  <c r="I66" i="12"/>
  <c r="I62" i="12"/>
  <c r="H61" i="12"/>
  <c r="H68" i="12"/>
  <c r="H66" i="12"/>
  <c r="H62" i="12"/>
  <c r="G61" i="12"/>
  <c r="F61" i="12"/>
  <c r="F68" i="12"/>
  <c r="F66" i="12"/>
  <c r="F62" i="12"/>
  <c r="E61" i="12"/>
  <c r="E68" i="12"/>
  <c r="E66" i="12"/>
  <c r="E62" i="12"/>
  <c r="D61" i="12"/>
  <c r="D66" i="12"/>
  <c r="D62" i="12"/>
  <c r="D68" i="12"/>
  <c r="C61" i="12"/>
  <c r="C49" i="12"/>
  <c r="G49" i="12"/>
  <c r="M49" i="12"/>
  <c r="L49" i="5"/>
  <c r="M49" i="5"/>
  <c r="K49" i="5"/>
  <c r="K50" i="5"/>
  <c r="K52" i="5" s="1"/>
  <c r="K53" i="5"/>
  <c r="K51" i="5"/>
  <c r="K56" i="5"/>
  <c r="L59" i="13"/>
  <c r="M61" i="5"/>
  <c r="L61" i="5"/>
  <c r="K61" i="5"/>
  <c r="J61" i="5"/>
  <c r="I61" i="5"/>
  <c r="H61" i="5"/>
  <c r="G61" i="5"/>
  <c r="F61" i="5"/>
  <c r="E61" i="5"/>
  <c r="D61" i="5"/>
  <c r="C61" i="5"/>
  <c r="J49" i="5"/>
  <c r="J50" i="5"/>
  <c r="J52" i="5" s="1"/>
  <c r="J53" i="5"/>
  <c r="J51" i="5"/>
  <c r="J56" i="5"/>
  <c r="I49" i="5"/>
  <c r="H49" i="5"/>
  <c r="G49" i="5"/>
  <c r="F49" i="5"/>
  <c r="E49" i="5"/>
  <c r="L49" i="12"/>
  <c r="L53" i="12"/>
  <c r="L50" i="12"/>
  <c r="K49" i="12"/>
  <c r="J49" i="12"/>
  <c r="J53" i="12"/>
  <c r="J50" i="12"/>
  <c r="J56" i="12"/>
  <c r="I49" i="12"/>
  <c r="H49" i="12"/>
  <c r="H53" i="12"/>
  <c r="H50" i="12"/>
  <c r="F49" i="12"/>
  <c r="E49" i="12"/>
  <c r="D49" i="12"/>
  <c r="D56" i="12"/>
  <c r="D53" i="12"/>
  <c r="D50" i="12"/>
  <c r="H18" i="3"/>
  <c r="C18" i="3"/>
  <c r="J12" i="1" s="1"/>
  <c r="B49" i="5"/>
  <c r="L22" i="13"/>
  <c r="L23" i="13"/>
  <c r="L24" i="13"/>
  <c r="L25" i="13"/>
  <c r="L26" i="13"/>
  <c r="L27" i="13"/>
  <c r="L28" i="13"/>
  <c r="L29" i="13"/>
  <c r="M62" i="12"/>
  <c r="M68" i="12"/>
  <c r="G62" i="12"/>
  <c r="C62" i="12"/>
  <c r="C50" i="12"/>
  <c r="E50" i="12"/>
  <c r="F50" i="12"/>
  <c r="G50" i="12"/>
  <c r="I50" i="12"/>
  <c r="K50" i="12"/>
  <c r="M50" i="12"/>
  <c r="B65" i="1"/>
  <c r="B47" i="1"/>
  <c r="H65" i="1"/>
  <c r="H47" i="1"/>
  <c r="N66" i="5"/>
  <c r="N66" i="12"/>
  <c r="M66" i="12"/>
  <c r="G66" i="12"/>
  <c r="C6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63" i="5"/>
  <c r="M63" i="5"/>
  <c r="L63" i="5"/>
  <c r="K63" i="5"/>
  <c r="J63" i="5"/>
  <c r="J66" i="5"/>
  <c r="J68" i="5"/>
  <c r="I63" i="5"/>
  <c r="H63" i="5"/>
  <c r="H66" i="5"/>
  <c r="H68" i="5"/>
  <c r="G63" i="5"/>
  <c r="F63" i="5"/>
  <c r="E63" i="5"/>
  <c r="D63" i="5"/>
  <c r="C63" i="5"/>
  <c r="M62" i="5"/>
  <c r="L62" i="5"/>
  <c r="K62" i="5"/>
  <c r="J62" i="5"/>
  <c r="I62" i="5"/>
  <c r="H62" i="5"/>
  <c r="G62" i="5"/>
  <c r="F62" i="5"/>
  <c r="E62" i="5"/>
  <c r="D62" i="5"/>
  <c r="C62" i="5"/>
  <c r="N16" i="5"/>
  <c r="M16" i="5"/>
  <c r="M19" i="5"/>
  <c r="M21" i="5"/>
  <c r="L16" i="5"/>
  <c r="K16" i="5"/>
  <c r="J16" i="5"/>
  <c r="J19" i="5"/>
  <c r="J21" i="5"/>
  <c r="I16" i="5"/>
  <c r="H16" i="5"/>
  <c r="G16" i="5"/>
  <c r="G18" i="5"/>
  <c r="G19" i="5"/>
  <c r="G21" i="5"/>
  <c r="F16" i="5"/>
  <c r="E16" i="5"/>
  <c r="E19" i="5"/>
  <c r="E21" i="5"/>
  <c r="D16" i="5"/>
  <c r="C16" i="5"/>
  <c r="C21" i="5"/>
  <c r="N19" i="12"/>
  <c r="D19" i="12"/>
  <c r="E19" i="12"/>
  <c r="F19" i="12"/>
  <c r="G19" i="12"/>
  <c r="H19" i="12"/>
  <c r="I19" i="12"/>
  <c r="I21" i="12"/>
  <c r="J19" i="12"/>
  <c r="K19" i="12"/>
  <c r="L19" i="12"/>
  <c r="M19" i="12"/>
  <c r="C19" i="12"/>
  <c r="D19" i="5"/>
  <c r="F19" i="5"/>
  <c r="H19" i="5"/>
  <c r="H5" i="5"/>
  <c r="H21" i="5"/>
  <c r="I19" i="5"/>
  <c r="K19" i="5"/>
  <c r="L19" i="5"/>
  <c r="D66" i="5"/>
  <c r="E66" i="5"/>
  <c r="F66" i="5"/>
  <c r="G66" i="5"/>
  <c r="I66" i="5"/>
  <c r="K66" i="5"/>
  <c r="L66" i="5"/>
  <c r="C66" i="5"/>
  <c r="C56" i="5"/>
  <c r="D56" i="5"/>
  <c r="E56" i="5"/>
  <c r="F56" i="5"/>
  <c r="G56" i="5"/>
  <c r="H56" i="5"/>
  <c r="I56" i="5"/>
  <c r="L56" i="5"/>
  <c r="M56" i="5"/>
  <c r="M50" i="5"/>
  <c r="M52" i="5" s="1"/>
  <c r="M53" i="5"/>
  <c r="M51" i="5"/>
  <c r="N68" i="12"/>
  <c r="G68" i="12"/>
  <c r="C68" i="12"/>
  <c r="N56" i="12"/>
  <c r="M56" i="12"/>
  <c r="L56" i="12"/>
  <c r="K56" i="12"/>
  <c r="I56" i="12"/>
  <c r="H56" i="12"/>
  <c r="G56" i="12"/>
  <c r="F56" i="12"/>
  <c r="E56" i="12"/>
  <c r="C56" i="12"/>
  <c r="N53" i="12"/>
  <c r="N51" i="12"/>
  <c r="N52" i="12" s="1"/>
  <c r="M53" i="12"/>
  <c r="K53" i="12"/>
  <c r="I53" i="12"/>
  <c r="G53" i="12"/>
  <c r="F53" i="12"/>
  <c r="E53" i="12"/>
  <c r="C5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M51" i="12"/>
  <c r="L51" i="12"/>
  <c r="K51" i="12"/>
  <c r="J51" i="12"/>
  <c r="I51" i="12"/>
  <c r="H51" i="12"/>
  <c r="G51" i="12"/>
  <c r="F51" i="12"/>
  <c r="E51" i="12"/>
  <c r="D51" i="12"/>
  <c r="C51" i="12"/>
  <c r="F21" i="12"/>
  <c r="L50" i="5"/>
  <c r="L52" i="5" s="1"/>
  <c r="L53" i="5"/>
  <c r="L51" i="5"/>
  <c r="I50" i="5"/>
  <c r="I52" i="5" s="1"/>
  <c r="I53" i="5"/>
  <c r="I51" i="5"/>
  <c r="H50" i="5"/>
  <c r="H52" i="5" s="1"/>
  <c r="H53" i="5"/>
  <c r="H51" i="5"/>
  <c r="G50" i="5"/>
  <c r="G52" i="5" s="1"/>
  <c r="G53" i="5"/>
  <c r="F50" i="5"/>
  <c r="F52" i="5" s="1"/>
  <c r="F53" i="5"/>
  <c r="F51" i="5"/>
  <c r="E50" i="5"/>
  <c r="E52" i="5" s="1"/>
  <c r="E53" i="5"/>
  <c r="E51" i="5"/>
  <c r="D50" i="5"/>
  <c r="D52" i="5" s="1"/>
  <c r="D53" i="5"/>
  <c r="D51" i="5"/>
  <c r="C50" i="5"/>
  <c r="C52" i="5" s="1"/>
  <c r="C53" i="5"/>
  <c r="C51" i="5"/>
  <c r="I59" i="1"/>
  <c r="C59" i="1"/>
  <c r="L21" i="12"/>
  <c r="G21" i="12"/>
  <c r="F7" i="12"/>
  <c r="F10" i="12"/>
  <c r="C21" i="12"/>
  <c r="M7" i="5"/>
  <c r="M5" i="5"/>
  <c r="M10" i="5"/>
  <c r="H7" i="5"/>
  <c r="H10" i="5"/>
  <c r="F5" i="5"/>
  <c r="F7" i="5"/>
  <c r="F10" i="5"/>
  <c r="E5" i="5"/>
  <c r="E10" i="5"/>
  <c r="C7" i="5"/>
  <c r="C5" i="5"/>
  <c r="C10" i="5"/>
  <c r="I58" i="1"/>
  <c r="I57" i="1"/>
  <c r="I56" i="1"/>
  <c r="I55" i="1"/>
  <c r="I54" i="1"/>
  <c r="I53" i="1"/>
  <c r="I52" i="1"/>
  <c r="I51" i="1"/>
  <c r="I50" i="1"/>
  <c r="I49" i="1"/>
  <c r="C58" i="1"/>
  <c r="C57" i="1"/>
  <c r="C56" i="1"/>
  <c r="C55" i="1"/>
  <c r="C49" i="1"/>
  <c r="C51" i="1"/>
  <c r="C52" i="1"/>
  <c r="C53" i="1"/>
  <c r="C54" i="1"/>
  <c r="C50" i="1"/>
  <c r="M68" i="5"/>
  <c r="L68" i="5"/>
  <c r="K68" i="5"/>
  <c r="I68" i="5"/>
  <c r="G68" i="5"/>
  <c r="F68" i="5"/>
  <c r="E68" i="5"/>
  <c r="D68" i="5"/>
  <c r="C68" i="5"/>
  <c r="N51" i="5"/>
  <c r="G51" i="5"/>
  <c r="N55" i="5"/>
  <c r="N53" i="5"/>
  <c r="N52" i="5"/>
  <c r="D7" i="5"/>
  <c r="G7" i="5"/>
  <c r="G5" i="5"/>
  <c r="G10" i="5"/>
  <c r="H33" i="3"/>
  <c r="L7" i="5"/>
  <c r="L5" i="5"/>
  <c r="L10" i="5"/>
  <c r="K7" i="5"/>
  <c r="J7" i="5"/>
  <c r="I7" i="5"/>
  <c r="I5" i="5"/>
  <c r="I10" i="5"/>
  <c r="N5" i="12"/>
  <c r="N6" i="12" s="1"/>
  <c r="N7" i="12"/>
  <c r="G7" i="12"/>
  <c r="G10" i="12"/>
  <c r="J7" i="12"/>
  <c r="J10" i="12"/>
  <c r="K7" i="12"/>
  <c r="K10" i="12"/>
  <c r="C7" i="12"/>
  <c r="C10" i="12"/>
  <c r="N21" i="12"/>
  <c r="M21" i="12"/>
  <c r="K21" i="12"/>
  <c r="J21" i="12"/>
  <c r="H21" i="12"/>
  <c r="E21" i="12"/>
  <c r="D21" i="12"/>
  <c r="N10" i="12"/>
  <c r="M10" i="12"/>
  <c r="M7" i="12"/>
  <c r="L10" i="12"/>
  <c r="I10" i="12"/>
  <c r="I7" i="12"/>
  <c r="E10" i="12"/>
  <c r="E7" i="12"/>
  <c r="D10" i="12"/>
  <c r="L7" i="12"/>
  <c r="D7" i="12"/>
  <c r="M5" i="12"/>
  <c r="L5" i="12"/>
  <c r="K5" i="12"/>
  <c r="J5" i="12"/>
  <c r="I5" i="12"/>
  <c r="H5" i="12"/>
  <c r="G5" i="12"/>
  <c r="F5" i="12"/>
  <c r="E5" i="12"/>
  <c r="D5" i="12"/>
  <c r="C43" i="3"/>
  <c r="N7" i="5" s="1"/>
  <c r="C44" i="3"/>
  <c r="E7" i="5"/>
  <c r="I21" i="5"/>
  <c r="K5" i="5"/>
  <c r="D21" i="5"/>
  <c r="F21" i="5"/>
  <c r="K21" i="5"/>
  <c r="L21" i="5"/>
  <c r="N10" i="5"/>
  <c r="N11" i="5" s="1"/>
  <c r="D10" i="5"/>
  <c r="J10" i="5"/>
  <c r="J5" i="5"/>
  <c r="K10" i="5"/>
  <c r="N5" i="5"/>
  <c r="D5" i="5"/>
  <c r="C33" i="3"/>
  <c r="C48" i="3"/>
  <c r="L12" i="13"/>
  <c r="C41" i="13" l="1"/>
  <c r="D36" i="13"/>
  <c r="H15" i="12"/>
  <c r="M15" i="12"/>
  <c r="E4" i="5"/>
  <c r="E6" i="5" s="1"/>
  <c r="G5" i="13"/>
  <c r="H15" i="5"/>
  <c r="L15" i="5"/>
  <c r="D4" i="12"/>
  <c r="C52" i="12"/>
  <c r="C55" i="12" s="1"/>
  <c r="C57" i="12" s="1"/>
  <c r="C58" i="12" s="1"/>
  <c r="F52" i="12"/>
  <c r="F55" i="12" s="1"/>
  <c r="F57" i="12" s="1"/>
  <c r="F58" i="12" s="1"/>
  <c r="L6" i="12"/>
  <c r="L9" i="12" s="1"/>
  <c r="L4" i="12"/>
  <c r="N17" i="12"/>
  <c r="E17" i="12"/>
  <c r="I18" i="5"/>
  <c r="N64" i="12"/>
  <c r="F17" i="12"/>
  <c r="M17" i="12"/>
  <c r="E17" i="5"/>
  <c r="M17" i="5"/>
  <c r="K12" i="1"/>
  <c r="D52" i="12"/>
  <c r="D55" i="12" s="1"/>
  <c r="D57" i="12" s="1"/>
  <c r="D58" i="12" s="1"/>
  <c r="M52" i="12"/>
  <c r="M55" i="12" s="1"/>
  <c r="M57" i="12" s="1"/>
  <c r="M58" i="12" s="1"/>
  <c r="E52" i="12"/>
  <c r="E55" i="12" s="1"/>
  <c r="E57" i="12" s="1"/>
  <c r="E58" i="12" s="1"/>
  <c r="K52" i="12"/>
  <c r="K55" i="12" s="1"/>
  <c r="K57" i="12" s="1"/>
  <c r="K58" i="12" s="1"/>
  <c r="G52" i="12"/>
  <c r="G55" i="12" s="1"/>
  <c r="G57" i="12" s="1"/>
  <c r="G58" i="12" s="1"/>
  <c r="I52" i="12"/>
  <c r="I55" i="12" s="1"/>
  <c r="I57" i="12" s="1"/>
  <c r="I58" i="12" s="1"/>
  <c r="G15" i="5"/>
  <c r="C13" i="13"/>
  <c r="L13" i="13" s="1"/>
  <c r="D64" i="12"/>
  <c r="F4" i="12"/>
  <c r="I4" i="5"/>
  <c r="I6" i="5" s="1"/>
  <c r="J4" i="12"/>
  <c r="J65" i="12"/>
  <c r="M65" i="5"/>
  <c r="N65" i="5"/>
  <c r="G65" i="5"/>
  <c r="L18" i="5"/>
  <c r="J18" i="12"/>
  <c r="N65" i="12"/>
  <c r="H41" i="13"/>
  <c r="J4" i="5"/>
  <c r="J6" i="5" s="1"/>
  <c r="B42" i="13"/>
  <c r="C42" i="13" s="1"/>
  <c r="R43" i="13"/>
  <c r="B43" i="13" s="1"/>
  <c r="G4" i="12"/>
  <c r="C18" i="12"/>
  <c r="D65" i="5"/>
  <c r="K18" i="5"/>
  <c r="L65" i="5"/>
  <c r="L65" i="12"/>
  <c r="M18" i="5"/>
  <c r="M65" i="12"/>
  <c r="I18" i="12"/>
  <c r="K18" i="12"/>
  <c r="F65" i="12"/>
  <c r="K8" i="1"/>
  <c r="H28" i="3"/>
  <c r="H30" i="3" s="1"/>
  <c r="N61" i="12" s="1"/>
  <c r="E18" i="5"/>
  <c r="K65" i="12"/>
  <c r="F18" i="5"/>
  <c r="E18" i="12"/>
  <c r="H18" i="5"/>
  <c r="K65" i="5"/>
  <c r="M18" i="12"/>
  <c r="F65" i="5"/>
  <c r="E65" i="12"/>
  <c r="H65" i="12"/>
  <c r="D18" i="5"/>
  <c r="L18" i="12"/>
  <c r="I65" i="12"/>
  <c r="C65" i="12"/>
  <c r="H18" i="12"/>
  <c r="C65" i="5"/>
  <c r="D18" i="12"/>
  <c r="E65" i="5"/>
  <c r="G65" i="12"/>
  <c r="N18" i="12"/>
  <c r="F18" i="12"/>
  <c r="C18" i="5"/>
  <c r="C20" i="5" s="1"/>
  <c r="C22" i="5" s="1"/>
  <c r="C23" i="5" s="1"/>
  <c r="J18" i="5"/>
  <c r="J65" i="5"/>
  <c r="I65" i="5"/>
  <c r="K15" i="12"/>
  <c r="I17" i="12"/>
  <c r="J17" i="12"/>
  <c r="H10" i="3"/>
  <c r="K17" i="12"/>
  <c r="D17" i="5"/>
  <c r="F64" i="12"/>
  <c r="K17" i="5"/>
  <c r="G64" i="5"/>
  <c r="H64" i="12"/>
  <c r="G17" i="12"/>
  <c r="G20" i="12" s="1"/>
  <c r="G22" i="12" s="1"/>
  <c r="G23" i="12" s="1"/>
  <c r="L17" i="12"/>
  <c r="K64" i="5"/>
  <c r="H17" i="5"/>
  <c r="J17" i="5"/>
  <c r="H64" i="5"/>
  <c r="M64" i="12"/>
  <c r="I64" i="12"/>
  <c r="E64" i="5"/>
  <c r="G64" i="12"/>
  <c r="I64" i="5"/>
  <c r="G17" i="5"/>
  <c r="G20" i="5" s="1"/>
  <c r="G22" i="5" s="1"/>
  <c r="G23" i="5" s="1"/>
  <c r="D17" i="12"/>
  <c r="H17" i="12"/>
  <c r="L64" i="5"/>
  <c r="L17" i="5"/>
  <c r="C64" i="5"/>
  <c r="C67" i="5" s="1"/>
  <c r="C69" i="5" s="1"/>
  <c r="C70" i="5" s="1"/>
  <c r="K64" i="12"/>
  <c r="N64" i="5"/>
  <c r="D64" i="5"/>
  <c r="I17" i="5"/>
  <c r="F64" i="5"/>
  <c r="F17" i="5"/>
  <c r="L64" i="12"/>
  <c r="E64" i="12"/>
  <c r="C64" i="12"/>
  <c r="C17" i="12"/>
  <c r="J64" i="5"/>
  <c r="J64" i="12"/>
  <c r="M64" i="5"/>
  <c r="K7" i="1"/>
  <c r="I8" i="5"/>
  <c r="I15" i="12"/>
  <c r="N55" i="12"/>
  <c r="E4" i="12"/>
  <c r="C54" i="5"/>
  <c r="C55" i="5" s="1"/>
  <c r="C57" i="5" s="1"/>
  <c r="C58" i="5" s="1"/>
  <c r="M54" i="5"/>
  <c r="M55" i="5" s="1"/>
  <c r="M57" i="5" s="1"/>
  <c r="M58" i="5" s="1"/>
  <c r="F54" i="5"/>
  <c r="F55" i="5" s="1"/>
  <c r="F57" i="5" s="1"/>
  <c r="F58" i="5" s="1"/>
  <c r="H9" i="12"/>
  <c r="H11" i="12" s="1"/>
  <c r="H12" i="12" s="1"/>
  <c r="H8" i="5"/>
  <c r="H9" i="5" s="1"/>
  <c r="H11" i="5" s="1"/>
  <c r="H12" i="5" s="1"/>
  <c r="G54" i="5"/>
  <c r="G55" i="5" s="1"/>
  <c r="G57" i="5" s="1"/>
  <c r="G58" i="5" s="1"/>
  <c r="K54" i="5"/>
  <c r="K55" i="5" s="1"/>
  <c r="K57" i="5" s="1"/>
  <c r="K58" i="5" s="1"/>
  <c r="C8" i="5"/>
  <c r="C9" i="5" s="1"/>
  <c r="C11" i="5" s="1"/>
  <c r="C12" i="5" s="1"/>
  <c r="G6" i="12"/>
  <c r="G9" i="12" s="1"/>
  <c r="I6" i="12"/>
  <c r="I9" i="12" s="1"/>
  <c r="I11" i="12" s="1"/>
  <c r="I12" i="12" s="1"/>
  <c r="J6" i="12"/>
  <c r="J9" i="12" s="1"/>
  <c r="C15" i="12"/>
  <c r="J52" i="12"/>
  <c r="J55" i="12" s="1"/>
  <c r="J57" i="12" s="1"/>
  <c r="J58" i="12" s="1"/>
  <c r="D15" i="5"/>
  <c r="F8" i="5"/>
  <c r="F9" i="5" s="1"/>
  <c r="F11" i="5" s="1"/>
  <c r="F12" i="5" s="1"/>
  <c r="I54" i="5"/>
  <c r="I55" i="5" s="1"/>
  <c r="I57" i="5" s="1"/>
  <c r="I58" i="5" s="1"/>
  <c r="N8" i="5"/>
  <c r="L8" i="5"/>
  <c r="L9" i="5" s="1"/>
  <c r="L11" i="5" s="1"/>
  <c r="L12" i="5" s="1"/>
  <c r="K6" i="12"/>
  <c r="K9" i="12" s="1"/>
  <c r="K11" i="12" s="1"/>
  <c r="K12" i="12" s="1"/>
  <c r="C6" i="12"/>
  <c r="C9" i="12" s="1"/>
  <c r="C11" i="12" s="1"/>
  <c r="C12" i="12" s="1"/>
  <c r="D6" i="12"/>
  <c r="D9" i="12" s="1"/>
  <c r="M6" i="12"/>
  <c r="M9" i="12" s="1"/>
  <c r="M11" i="12" s="1"/>
  <c r="M12" i="12" s="1"/>
  <c r="E6" i="12"/>
  <c r="E9" i="12" s="1"/>
  <c r="F6" i="12"/>
  <c r="F9" i="12" s="1"/>
  <c r="L52" i="12"/>
  <c r="L55" i="12" s="1"/>
  <c r="L57" i="12" s="1"/>
  <c r="L58" i="12" s="1"/>
  <c r="C15" i="5"/>
  <c r="H52" i="12"/>
  <c r="H55" i="12" s="1"/>
  <c r="H57" i="12" s="1"/>
  <c r="H58" i="12" s="1"/>
  <c r="H65" i="5"/>
  <c r="D65" i="12"/>
  <c r="C10" i="3"/>
  <c r="E8" i="5"/>
  <c r="M8" i="5"/>
  <c r="D54" i="5"/>
  <c r="D55" i="5" s="1"/>
  <c r="D57" i="5" s="1"/>
  <c r="D58" i="5" s="1"/>
  <c r="L54" i="5"/>
  <c r="L55" i="5" s="1"/>
  <c r="L57" i="5" s="1"/>
  <c r="L58" i="5" s="1"/>
  <c r="N54" i="5"/>
  <c r="K8" i="5"/>
  <c r="J54" i="5"/>
  <c r="J55" i="5" s="1"/>
  <c r="J57" i="5" s="1"/>
  <c r="J58" i="5" s="1"/>
  <c r="G8" i="5"/>
  <c r="G9" i="5" s="1"/>
  <c r="G11" i="5" s="1"/>
  <c r="G12" i="5" s="1"/>
  <c r="D9" i="5"/>
  <c r="D11" i="5" s="1"/>
  <c r="D12" i="5" s="1"/>
  <c r="J8" i="5"/>
  <c r="H54" i="5"/>
  <c r="H55" i="5" s="1"/>
  <c r="H57" i="5" s="1"/>
  <c r="H58" i="5" s="1"/>
  <c r="E54" i="5"/>
  <c r="E55" i="5" s="1"/>
  <c r="E57" i="5" s="1"/>
  <c r="E58" i="5" s="1"/>
  <c r="J9" i="1"/>
  <c r="J10" i="1" s="1"/>
  <c r="N9" i="12"/>
  <c r="F15" i="5"/>
  <c r="K4" i="5"/>
  <c r="K6" i="5" s="1"/>
  <c r="M4" i="5"/>
  <c r="M6" i="5" s="1"/>
  <c r="C42" i="3"/>
  <c r="N4" i="5"/>
  <c r="N50" i="5"/>
  <c r="N49" i="5" s="1"/>
  <c r="H42" i="13" l="1"/>
  <c r="E41" i="13"/>
  <c r="F41" i="13" s="1"/>
  <c r="E9" i="5"/>
  <c r="E11" i="5" s="1"/>
  <c r="E12" i="5" s="1"/>
  <c r="D11" i="12"/>
  <c r="D12" i="12" s="1"/>
  <c r="J41" i="13"/>
  <c r="F11" i="12"/>
  <c r="F12" i="12" s="1"/>
  <c r="L11" i="12"/>
  <c r="L12" i="12" s="1"/>
  <c r="I20" i="5"/>
  <c r="I22" i="5" s="1"/>
  <c r="I23" i="5" s="1"/>
  <c r="E20" i="12"/>
  <c r="E22" i="12" s="1"/>
  <c r="E23" i="12" s="1"/>
  <c r="C28" i="3"/>
  <c r="C30" i="3" s="1"/>
  <c r="M20" i="12"/>
  <c r="M22" i="12" s="1"/>
  <c r="M23" i="12" s="1"/>
  <c r="M20" i="5"/>
  <c r="M22" i="5" s="1"/>
  <c r="M23" i="5" s="1"/>
  <c r="N20" i="12"/>
  <c r="F20" i="5"/>
  <c r="F22" i="5" s="1"/>
  <c r="F23" i="5" s="1"/>
  <c r="N67" i="12"/>
  <c r="E20" i="5"/>
  <c r="E22" i="5" s="1"/>
  <c r="E23" i="5" s="1"/>
  <c r="F20" i="12"/>
  <c r="F22" i="12" s="1"/>
  <c r="F23" i="12" s="1"/>
  <c r="J20" i="5"/>
  <c r="J22" i="5" s="1"/>
  <c r="J23" i="5" s="1"/>
  <c r="H13" i="3"/>
  <c r="H19" i="3" s="1"/>
  <c r="H20" i="3" s="1"/>
  <c r="M67" i="5"/>
  <c r="M69" i="5" s="1"/>
  <c r="M70" i="5" s="1"/>
  <c r="J67" i="12"/>
  <c r="J69" i="12" s="1"/>
  <c r="J70" i="12" s="1"/>
  <c r="D67" i="12"/>
  <c r="D69" i="12" s="1"/>
  <c r="D70" i="12" s="1"/>
  <c r="L20" i="12"/>
  <c r="L22" i="12" s="1"/>
  <c r="L23" i="12" s="1"/>
  <c r="J9" i="5"/>
  <c r="J11" i="5" s="1"/>
  <c r="J12" i="5" s="1"/>
  <c r="I9" i="5"/>
  <c r="I11" i="5" s="1"/>
  <c r="I12" i="5" s="1"/>
  <c r="N62" i="12"/>
  <c r="N15" i="12"/>
  <c r="J11" i="12"/>
  <c r="J12" i="12" s="1"/>
  <c r="C14" i="13"/>
  <c r="L14" i="13" s="1"/>
  <c r="N67" i="5"/>
  <c r="C67" i="12"/>
  <c r="C69" i="12" s="1"/>
  <c r="C70" i="12" s="1"/>
  <c r="K67" i="12"/>
  <c r="K69" i="12" s="1"/>
  <c r="K70" i="12" s="1"/>
  <c r="G11" i="12"/>
  <c r="G12" i="12" s="1"/>
  <c r="I67" i="12"/>
  <c r="I69" i="12" s="1"/>
  <c r="I70" i="12" s="1"/>
  <c r="L67" i="12"/>
  <c r="L69" i="12" s="1"/>
  <c r="L70" i="12" s="1"/>
  <c r="C20" i="12"/>
  <c r="C22" i="12" s="1"/>
  <c r="C23" i="12" s="1"/>
  <c r="K10" i="1"/>
  <c r="M67" i="12"/>
  <c r="M69" i="12" s="1"/>
  <c r="M70" i="12" s="1"/>
  <c r="G67" i="5"/>
  <c r="G69" i="5" s="1"/>
  <c r="G70" i="5" s="1"/>
  <c r="H20" i="12"/>
  <c r="H22" i="12" s="1"/>
  <c r="H23" i="12" s="1"/>
  <c r="E67" i="12"/>
  <c r="E69" i="12" s="1"/>
  <c r="E70" i="12" s="1"/>
  <c r="D20" i="12"/>
  <c r="D22" i="12" s="1"/>
  <c r="D23" i="12" s="1"/>
  <c r="J20" i="12"/>
  <c r="J22" i="12" s="1"/>
  <c r="J23" i="12" s="1"/>
  <c r="L20" i="5"/>
  <c r="L22" i="5" s="1"/>
  <c r="L23" i="5" s="1"/>
  <c r="H20" i="5"/>
  <c r="H22" i="5" s="1"/>
  <c r="H23" i="5" s="1"/>
  <c r="E67" i="5"/>
  <c r="E69" i="5" s="1"/>
  <c r="E70" i="5" s="1"/>
  <c r="H67" i="12"/>
  <c r="H69" i="12" s="1"/>
  <c r="H70" i="12" s="1"/>
  <c r="I67" i="5"/>
  <c r="I69" i="5" s="1"/>
  <c r="I70" i="5" s="1"/>
  <c r="L67" i="5"/>
  <c r="L69" i="5" s="1"/>
  <c r="L70" i="5" s="1"/>
  <c r="H67" i="5"/>
  <c r="H69" i="5" s="1"/>
  <c r="H70" i="5" s="1"/>
  <c r="F67" i="12"/>
  <c r="F69" i="12" s="1"/>
  <c r="F70" i="12" s="1"/>
  <c r="D67" i="5"/>
  <c r="D69" i="5" s="1"/>
  <c r="D70" i="5" s="1"/>
  <c r="J67" i="5"/>
  <c r="J69" i="5" s="1"/>
  <c r="J70" i="5" s="1"/>
  <c r="F67" i="5"/>
  <c r="F69" i="5" s="1"/>
  <c r="F70" i="5" s="1"/>
  <c r="I20" i="12"/>
  <c r="I22" i="12" s="1"/>
  <c r="I23" i="12" s="1"/>
  <c r="K20" i="12"/>
  <c r="K22" i="12" s="1"/>
  <c r="K23" i="12" s="1"/>
  <c r="G67" i="12"/>
  <c r="G69" i="12" s="1"/>
  <c r="G70" i="12" s="1"/>
  <c r="D20" i="5"/>
  <c r="D22" i="5" s="1"/>
  <c r="D23" i="5" s="1"/>
  <c r="K20" i="5"/>
  <c r="K22" i="5" s="1"/>
  <c r="K23" i="5" s="1"/>
  <c r="R44" i="13"/>
  <c r="B44" i="13" s="1"/>
  <c r="H32" i="3"/>
  <c r="K67" i="5"/>
  <c r="K69" i="5" s="1"/>
  <c r="K70" i="5" s="1"/>
  <c r="E11" i="12"/>
  <c r="E12" i="12" s="1"/>
  <c r="K9" i="5"/>
  <c r="K11" i="5" s="1"/>
  <c r="K12" i="5" s="1"/>
  <c r="M9" i="5"/>
  <c r="M11" i="5" s="1"/>
  <c r="M12" i="5" s="1"/>
  <c r="C13" i="3"/>
  <c r="N6" i="5"/>
  <c r="C45" i="3"/>
  <c r="D42" i="13" l="1"/>
  <c r="G41" i="13"/>
  <c r="K41" i="13"/>
  <c r="N41" i="13" s="1"/>
  <c r="L41" i="13" s="1"/>
  <c r="E42" i="13"/>
  <c r="J42" i="13"/>
  <c r="N22" i="12"/>
  <c r="N23" i="12" s="1"/>
  <c r="G22" i="3"/>
  <c r="K14" i="1"/>
  <c r="J27" i="1" s="1"/>
  <c r="K13" i="1"/>
  <c r="C43" i="13"/>
  <c r="H43" i="13" s="1"/>
  <c r="C15" i="13"/>
  <c r="R45" i="13"/>
  <c r="B45" i="13" s="1"/>
  <c r="J13" i="1"/>
  <c r="C19" i="3"/>
  <c r="C20" i="3" s="1"/>
  <c r="N50" i="12"/>
  <c r="C32" i="3"/>
  <c r="N49" i="12"/>
  <c r="N4" i="12"/>
  <c r="C47" i="3"/>
  <c r="N9" i="5"/>
  <c r="F42" i="13" l="1"/>
  <c r="G42" i="13" s="1"/>
  <c r="D43" i="13"/>
  <c r="I43" i="13" s="1"/>
  <c r="L15" i="13"/>
  <c r="C16" i="13"/>
  <c r="L16" i="13" s="1"/>
  <c r="I42" i="13"/>
  <c r="K42" i="13" s="1"/>
  <c r="J43" i="13"/>
  <c r="E43" i="13"/>
  <c r="C44" i="13"/>
  <c r="H44" i="13" s="1"/>
  <c r="H22" i="1"/>
  <c r="J28" i="1"/>
  <c r="J29" i="1" s="1"/>
  <c r="J25" i="1"/>
  <c r="H23" i="1"/>
  <c r="J24" i="1"/>
  <c r="H25" i="1" s="1"/>
  <c r="N11" i="12"/>
  <c r="N12" i="12" s="1"/>
  <c r="R46" i="13"/>
  <c r="B46" i="13" s="1"/>
  <c r="N69" i="12"/>
  <c r="N70" i="12" s="1"/>
  <c r="N57" i="12"/>
  <c r="N58" i="12" s="1"/>
  <c r="B22" i="3"/>
  <c r="J14" i="1"/>
  <c r="D39" i="1" s="1"/>
  <c r="D40" i="1" s="1"/>
  <c r="D41" i="1" s="1"/>
  <c r="F43" i="13" l="1"/>
  <c r="G43" i="13" s="1"/>
  <c r="K43" i="13"/>
  <c r="J44" i="13"/>
  <c r="N42" i="13"/>
  <c r="E44" i="13"/>
  <c r="C45" i="13"/>
  <c r="H45" i="13" s="1"/>
  <c r="D44" i="13"/>
  <c r="C17" i="13"/>
  <c r="L17" i="13" s="1"/>
  <c r="R47" i="13"/>
  <c r="B47" i="13" s="1"/>
  <c r="D25" i="1"/>
  <c r="D27" i="1"/>
  <c r="B23" i="1"/>
  <c r="D31" i="1"/>
  <c r="B32" i="1" s="1"/>
  <c r="D24" i="1"/>
  <c r="B25" i="1" s="1"/>
  <c r="D35" i="1"/>
  <c r="D36" i="1"/>
  <c r="D34" i="1"/>
  <c r="B22" i="1"/>
  <c r="D32" i="1"/>
  <c r="D28" i="1"/>
  <c r="D37" i="1"/>
  <c r="F44" i="13" l="1"/>
  <c r="G44" i="13" s="1"/>
  <c r="N43" i="13"/>
  <c r="L43" i="13" s="1"/>
  <c r="L42" i="13"/>
  <c r="M41" i="13" s="1"/>
  <c r="D45" i="13"/>
  <c r="I45" i="13" s="1"/>
  <c r="E45" i="13"/>
  <c r="C46" i="13"/>
  <c r="H46" i="13" s="1"/>
  <c r="I44" i="13"/>
  <c r="K44" i="13" s="1"/>
  <c r="C18" i="13"/>
  <c r="L18" i="13" s="1"/>
  <c r="J45" i="13"/>
  <c r="R48" i="13"/>
  <c r="B48" i="13" s="1"/>
  <c r="D29" i="1"/>
  <c r="K45" i="13" l="1"/>
  <c r="F45" i="13"/>
  <c r="G45" i="13" s="1"/>
  <c r="M42" i="13"/>
  <c r="C47" i="13"/>
  <c r="H47" i="13" s="1"/>
  <c r="N44" i="13"/>
  <c r="L44" i="13" s="1"/>
  <c r="M43" i="13" s="1"/>
  <c r="E46" i="13"/>
  <c r="D46" i="13"/>
  <c r="I46" i="13" s="1"/>
  <c r="C19" i="13"/>
  <c r="L19" i="13" s="1"/>
  <c r="J46" i="13"/>
  <c r="R49" i="13"/>
  <c r="B49" i="13" s="1"/>
  <c r="C48" i="13" l="1"/>
  <c r="E47" i="13"/>
  <c r="K46" i="13"/>
  <c r="F46" i="13"/>
  <c r="G46" i="13" s="1"/>
  <c r="D47" i="13"/>
  <c r="I47" i="13" s="1"/>
  <c r="N45" i="13"/>
  <c r="L45" i="13" s="1"/>
  <c r="M44" i="13" s="1"/>
  <c r="C20" i="13"/>
  <c r="J47" i="13"/>
  <c r="R50" i="13"/>
  <c r="B50" i="13" s="1"/>
  <c r="H48" i="13" l="1"/>
  <c r="L20" i="13"/>
  <c r="C21" i="13"/>
  <c r="L21" i="13" s="1"/>
  <c r="F47" i="13"/>
  <c r="G47" i="13" s="1"/>
  <c r="D48" i="13"/>
  <c r="I48" i="13" s="1"/>
  <c r="K47" i="13"/>
  <c r="C49" i="13"/>
  <c r="H49" i="13" s="1"/>
  <c r="N46" i="13"/>
  <c r="L46" i="13" s="1"/>
  <c r="M45" i="13" s="1"/>
  <c r="E48" i="13"/>
  <c r="J48" i="13"/>
  <c r="R51" i="13"/>
  <c r="B51" i="13" s="1"/>
  <c r="F48" i="13" l="1"/>
  <c r="G48" i="13" s="1"/>
  <c r="M12" i="13"/>
  <c r="D49" i="13"/>
  <c r="I49" i="13" s="1"/>
  <c r="E49" i="13"/>
  <c r="C50" i="13"/>
  <c r="H50" i="13" s="1"/>
  <c r="J49" i="13"/>
  <c r="K48" i="13"/>
  <c r="N47" i="13"/>
  <c r="L47" i="13" s="1"/>
  <c r="M46" i="13" s="1"/>
  <c r="R52" i="13"/>
  <c r="B52" i="13" s="1"/>
  <c r="F49" i="13" l="1"/>
  <c r="G49" i="13" s="1"/>
  <c r="D50" i="13"/>
  <c r="K49" i="13"/>
  <c r="J50" i="13"/>
  <c r="C51" i="13"/>
  <c r="H51" i="13" s="1"/>
  <c r="N48" i="13"/>
  <c r="L48" i="13" s="1"/>
  <c r="M47" i="13" s="1"/>
  <c r="E50" i="13"/>
  <c r="R53" i="13"/>
  <c r="B53" i="13" s="1"/>
  <c r="F50" i="13" l="1"/>
  <c r="G50" i="13" s="1"/>
  <c r="I50" i="13"/>
  <c r="K50" i="13" s="1"/>
  <c r="D51" i="13"/>
  <c r="N49" i="13"/>
  <c r="L49" i="13" s="1"/>
  <c r="M48" i="13" s="1"/>
  <c r="C52" i="13"/>
  <c r="H52" i="13" s="1"/>
  <c r="E51" i="13"/>
  <c r="J51" i="13"/>
  <c r="R54" i="13"/>
  <c r="B54" i="13" s="1"/>
  <c r="F51" i="13" l="1"/>
  <c r="G51" i="13" s="1"/>
  <c r="D52" i="13"/>
  <c r="I51" i="13"/>
  <c r="K51" i="13" s="1"/>
  <c r="J52" i="13"/>
  <c r="C53" i="13"/>
  <c r="H53" i="13" s="1"/>
  <c r="N50" i="13"/>
  <c r="L50" i="13" s="1"/>
  <c r="M49" i="13" s="1"/>
  <c r="E52" i="13"/>
  <c r="R55" i="13"/>
  <c r="B55" i="13" s="1"/>
  <c r="F52" i="13" l="1"/>
  <c r="G52" i="13" s="1"/>
  <c r="I52" i="13"/>
  <c r="K52" i="13" s="1"/>
  <c r="C54" i="13"/>
  <c r="H54" i="13" s="1"/>
  <c r="J53" i="13"/>
  <c r="D53" i="13"/>
  <c r="I53" i="13" s="1"/>
  <c r="E53" i="13"/>
  <c r="N51" i="13"/>
  <c r="L51" i="13" s="1"/>
  <c r="M50" i="13" s="1"/>
  <c r="R56" i="13"/>
  <c r="B56" i="13" s="1"/>
  <c r="J54" i="13" l="1"/>
  <c r="F53" i="13"/>
  <c r="G53" i="13" s="1"/>
  <c r="E54" i="13"/>
  <c r="D54" i="13"/>
  <c r="F54" i="13" s="1"/>
  <c r="K53" i="13"/>
  <c r="C55" i="13"/>
  <c r="H55" i="13" s="1"/>
  <c r="N52" i="13"/>
  <c r="L52" i="13" s="1"/>
  <c r="M51" i="13" s="1"/>
  <c r="R57" i="13"/>
  <c r="B57" i="13" s="1"/>
  <c r="I54" i="13" l="1"/>
  <c r="K54" i="13" s="1"/>
  <c r="C56" i="13"/>
  <c r="H56" i="13" s="1"/>
  <c r="D55" i="13"/>
  <c r="E55" i="13"/>
  <c r="J55" i="13"/>
  <c r="N53" i="13"/>
  <c r="L53" i="13" s="1"/>
  <c r="M52" i="13" s="1"/>
  <c r="G54" i="13"/>
  <c r="R58" i="13"/>
  <c r="F55" i="13" l="1"/>
  <c r="G55" i="13" s="1"/>
  <c r="J56" i="13"/>
  <c r="D56" i="13"/>
  <c r="C57" i="13"/>
  <c r="H57" i="13" s="1"/>
  <c r="E56" i="13"/>
  <c r="I55" i="13"/>
  <c r="K55" i="13" s="1"/>
  <c r="N54" i="13"/>
  <c r="L54" i="13" s="1"/>
  <c r="M53" i="13" s="1"/>
  <c r="F56" i="13" l="1"/>
  <c r="G56" i="13" s="1"/>
  <c r="I56" i="13"/>
  <c r="K56" i="13" s="1"/>
  <c r="E57" i="13"/>
  <c r="E58" i="13" s="1"/>
  <c r="D57" i="13"/>
  <c r="F57" i="13" s="1"/>
  <c r="J57" i="13"/>
  <c r="J58" i="13" s="1"/>
  <c r="N55" i="13"/>
  <c r="L55" i="13" s="1"/>
  <c r="M54" i="13" s="1"/>
  <c r="D58" i="13" l="1"/>
  <c r="I57" i="13"/>
  <c r="K57" i="13" s="1"/>
  <c r="N56" i="13"/>
  <c r="L56" i="13" s="1"/>
  <c r="M55" i="13" s="1"/>
  <c r="G57" i="13"/>
  <c r="I58" i="13" l="1"/>
  <c r="N57" i="13"/>
  <c r="L57" i="13" l="1"/>
  <c r="M56" i="13" s="1"/>
  <c r="M57" i="13" l="1"/>
  <c r="K35" i="13" l="1"/>
  <c r="J35" i="13" s="1"/>
  <c r="G3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</author>
  </authors>
  <commentList>
    <comment ref="B47" authorId="0" shapeId="0" xr:uid="{A865D819-5843-48FA-9E29-32C83A9859BD}">
      <text>
        <r>
          <rPr>
            <sz val="9"/>
            <color indexed="81"/>
            <rFont val="Tahoma"/>
            <family val="2"/>
            <charset val="238"/>
          </rPr>
          <t>Za podrobnejši graf glej zavihek Scenarij - Različna življenjska doba (zgoraj)</t>
        </r>
      </text>
    </comment>
    <comment ref="H47" authorId="0" shapeId="0" xr:uid="{7816E7EF-F44A-4B75-9B5B-D222AEED1EB1}">
      <text>
        <r>
          <rPr>
            <sz val="9"/>
            <color indexed="81"/>
            <rFont val="Tahoma"/>
            <family val="2"/>
            <charset val="238"/>
          </rPr>
          <t>Za podrobnejši graf glej zavihek Scenarij - Različno število storitev (zgoraj)</t>
        </r>
      </text>
    </comment>
    <comment ref="B65" authorId="0" shapeId="0" xr:uid="{5352D774-DFB0-4ADB-BF4F-09A9F5FEE9D7}">
      <text>
        <r>
          <rPr>
            <sz val="9"/>
            <color indexed="81"/>
            <rFont val="Tahoma"/>
            <family val="2"/>
            <charset val="238"/>
          </rPr>
          <t xml:space="preserve">Za podrobnejši graf glej zavihek Scenarij - Različna življenjska doba (spodaj)
</t>
        </r>
      </text>
    </comment>
    <comment ref="H65" authorId="0" shapeId="0" xr:uid="{C62D11A0-5899-437E-BC75-D658A2E8B559}">
      <text>
        <r>
          <rPr>
            <sz val="9"/>
            <color indexed="81"/>
            <rFont val="Tahoma"/>
            <family val="2"/>
            <charset val="238"/>
          </rPr>
          <t>Za podrobnejši graf glej zavihek Scenarij - Različno število storitev (spodaj)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</author>
    <author>Tomaž Glažar</author>
  </authors>
  <commentList>
    <comment ref="D8" authorId="0" shapeId="0" xr:uid="{685AE4A2-30DC-48C2-9602-B9A1934657F4}">
      <text>
        <r>
          <rPr>
            <sz val="9"/>
            <color indexed="81"/>
            <rFont val="Tahoma"/>
            <family val="2"/>
            <charset val="238"/>
          </rPr>
          <t xml:space="preserve">Izberite:
-Nakup
-Poslovni najem
</t>
        </r>
      </text>
    </comment>
    <comment ref="F11" authorId="1" shapeId="0" xr:uid="{60798359-200E-48CE-835F-A9C8A4CB4F5D}">
      <text>
        <r>
          <rPr>
            <sz val="11"/>
            <color theme="1"/>
            <rFont val="Calibri"/>
            <family val="2"/>
            <charset val="238"/>
            <scheme val="minor"/>
          </rPr>
          <t>Upoštevajo se vsi tekoči stroški, obresti od kreditov in najemnina</t>
        </r>
      </text>
    </comment>
  </commentList>
</comments>
</file>

<file path=xl/sharedStrings.xml><?xml version="1.0" encoding="utf-8"?>
<sst xmlns="http://schemas.openxmlformats.org/spreadsheetml/2006/main" count="280" uniqueCount="100">
  <si>
    <t>Nakup</t>
  </si>
  <si>
    <t>Poslovni najem</t>
  </si>
  <si>
    <t>Letni stroški nakupa - skupaj</t>
  </si>
  <si>
    <t>Letni stroški poslovnega najema - skupaj</t>
  </si>
  <si>
    <t>Letna amortizacija</t>
  </si>
  <si>
    <t>Letni stroški poslovnega najema</t>
  </si>
  <si>
    <t>Letni operativni stroški</t>
  </si>
  <si>
    <t>Letni stroški kredita</t>
  </si>
  <si>
    <t>Skupaj</t>
  </si>
  <si>
    <t>Skupaj stroški na preiskavo</t>
  </si>
  <si>
    <t>Primerjava letnih stroškov na preiskavo s prihodki iz amortizacije:</t>
  </si>
  <si>
    <t>Amortizacija priznana v prihodkih</t>
  </si>
  <si>
    <t>Razlika</t>
  </si>
  <si>
    <t>Dvig učinkovitosti izrabe oziroma povečanje števila preiskav</t>
  </si>
  <si>
    <t>Povečanje v odstotkih</t>
  </si>
  <si>
    <t>Novo število preiskav</t>
  </si>
  <si>
    <t>Novi stroški na preiskavo (kontrola)</t>
  </si>
  <si>
    <t>Podaljšanje dobe uporabnosti</t>
  </si>
  <si>
    <t>Nova doba uporabnosti</t>
  </si>
  <si>
    <t>Nova letna amortizacija</t>
  </si>
  <si>
    <t>Letni operativni stroški (ni spremembe)</t>
  </si>
  <si>
    <t>Letni stroški kredita (ni spremembe)</t>
  </si>
  <si>
    <t>Skupaj (amortizacija + vzdrževanje)</t>
  </si>
  <si>
    <t>Vrsta pridobitve:</t>
  </si>
  <si>
    <t>Osnovni podatki</t>
  </si>
  <si>
    <t>Prikaz izračunov</t>
  </si>
  <si>
    <t>Nabavna vrednost</t>
  </si>
  <si>
    <t>Življenjska doba</t>
  </si>
  <si>
    <t>let</t>
  </si>
  <si>
    <t>(1) Letna amortizacija</t>
  </si>
  <si>
    <t>-</t>
  </si>
  <si>
    <t>Ocenjeno letno število storitev</t>
  </si>
  <si>
    <t>(2) Letni stroški poslovnega najema</t>
  </si>
  <si>
    <t>(3) Letni operativni stroški</t>
  </si>
  <si>
    <t>(4) Letni stroški kredita</t>
  </si>
  <si>
    <t>(=1+2+3+4) Skupaj stroški - letni</t>
  </si>
  <si>
    <t>Stroški poslovnega najema - letni</t>
  </si>
  <si>
    <t>(5) Amortizacija priznana v prihodkih /st.</t>
  </si>
  <si>
    <t>Stroški kredita - letni</t>
  </si>
  <si>
    <t>(6) Skupaj stroški na storitev</t>
  </si>
  <si>
    <t>Operativni stroški - letni</t>
  </si>
  <si>
    <t>(=5-6) Razlika</t>
  </si>
  <si>
    <t>Prilagoditve učinkovitosti / življ. dobe</t>
  </si>
  <si>
    <t>V primeru nakupa</t>
  </si>
  <si>
    <t>V primeru poslovnega najema</t>
  </si>
  <si>
    <t>1. Dvig učinkovitosti izrabe investicije za</t>
  </si>
  <si>
    <t>storitev/leto</t>
  </si>
  <si>
    <t>(6) Novi stroški na storitev (kontrola)</t>
  </si>
  <si>
    <t>/storitev</t>
  </si>
  <si>
    <t>(7) Amortizacija priznana v prihodkih</t>
  </si>
  <si>
    <t>(=7-6) Razlika</t>
  </si>
  <si>
    <t>2. Podaljšanje življenjske dobe investicije za</t>
  </si>
  <si>
    <t>(8) Nova letna amortizacija</t>
  </si>
  <si>
    <t>/leto</t>
  </si>
  <si>
    <t>(9) Letni operativni stroški (ni spremembe)</t>
  </si>
  <si>
    <t>(10) Letni stroški kredita (ni spremembe)</t>
  </si>
  <si>
    <t>(=8+9+10) Skupaj novi stroški - letni</t>
  </si>
  <si>
    <t>(11) Novi stroški na storitev (kontrola)</t>
  </si>
  <si>
    <t>(12) Amortizacija priznana v prihodkih</t>
  </si>
  <si>
    <t>(=12-11) Razlika</t>
  </si>
  <si>
    <t>Scenariji - avtomatsko (do +/- 25%)</t>
  </si>
  <si>
    <t>Število storitev</t>
  </si>
  <si>
    <t>Scenariji - izbere  uporabnik</t>
  </si>
  <si>
    <t>Vpis</t>
  </si>
  <si>
    <t>Nakup - avtomatsko</t>
  </si>
  <si>
    <t>+0%</t>
  </si>
  <si>
    <t>+5%</t>
  </si>
  <si>
    <t>+10%</t>
  </si>
  <si>
    <t>+15%</t>
  </si>
  <si>
    <t>+20%</t>
  </si>
  <si>
    <t>+25%</t>
  </si>
  <si>
    <t>Meja</t>
  </si>
  <si>
    <t>Življenjska doba leta</t>
  </si>
  <si>
    <t>Skupaj stroški na storitev</t>
  </si>
  <si>
    <t>Poslovni najem - avtomatsko</t>
  </si>
  <si>
    <t>Življenjska doba (leta)</t>
  </si>
  <si>
    <t>Nakup - izbira</t>
  </si>
  <si>
    <t>Poslovni najem - izbira</t>
  </si>
  <si>
    <t>Vnos podatkov za obračun</t>
  </si>
  <si>
    <t>Začetek delovanja</t>
  </si>
  <si>
    <t>Pokritje investicije</t>
  </si>
  <si>
    <t>Zaključek delovanja</t>
  </si>
  <si>
    <t>Vrsta pridobitve</t>
  </si>
  <si>
    <t>Vpiši zap.št.</t>
  </si>
  <si>
    <t>Leto</t>
  </si>
  <si>
    <t>realizirano število storitev</t>
  </si>
  <si>
    <t>prihodki za pokrivanje am.</t>
  </si>
  <si>
    <t>Stroški delovanja 
brez amortizacije</t>
  </si>
  <si>
    <t>Obračun investicije</t>
  </si>
  <si>
    <t>Nač. zaključek delovanja</t>
  </si>
  <si>
    <t>Nač. življenjska doba</t>
  </si>
  <si>
    <t>Zap.št.</t>
  </si>
  <si>
    <t>načrtovano</t>
  </si>
  <si>
    <t>realizirano</t>
  </si>
  <si>
    <t>odmik</t>
  </si>
  <si>
    <t>skupno v letih</t>
  </si>
  <si>
    <t>real.am./ storitev</t>
  </si>
  <si>
    <t>kumulativa</t>
  </si>
  <si>
    <t>življenjska doba</t>
  </si>
  <si>
    <t>Življenjska doba, kjer sta nakup in poslovni najem enaka: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</si>
</sst>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164" formatCode="#,##0.00\ &quot;€&quot;"/>
    <numFmt numFmtId="165" formatCode="0.0000"/>
    <numFmt numFmtId="166" formatCode="mm/yyyy"/>
    <numFmt numFmtId="167" formatCode="yyyy"/>
    <numFmt numFmtId="168" formatCode="#,##0_ ;[Red]\-#,##0\ "/>
    <numFmt numFmtId="169" formatCode="0.0%"/>
    <numFmt numFmtId="170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5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8">
    <xf numFmtId="0" fontId="0" fillId="0" borderId="0" xfId="0"/>
    <xf numFmtId="8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8" fontId="0" fillId="0" borderId="4" xfId="0" applyNumberFormat="1" applyBorder="1"/>
    <xf numFmtId="0" fontId="5" fillId="0" borderId="4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8" fontId="0" fillId="0" borderId="11" xfId="0" applyNumberFormat="1" applyBorder="1"/>
    <xf numFmtId="0" fontId="0" fillId="0" borderId="12" xfId="0" applyBorder="1"/>
    <xf numFmtId="0" fontId="0" fillId="0" borderId="2" xfId="0" applyBorder="1" applyAlignment="1">
      <alignment horizontal="left"/>
    </xf>
    <xf numFmtId="8" fontId="0" fillId="0" borderId="13" xfId="0" applyNumberFormat="1" applyBorder="1"/>
    <xf numFmtId="0" fontId="0" fillId="0" borderId="14" xfId="0" applyBorder="1" applyAlignment="1">
      <alignment horizontal="right"/>
    </xf>
    <xf numFmtId="0" fontId="5" fillId="0" borderId="9" xfId="0" applyFont="1" applyBorder="1" applyAlignment="1">
      <alignment vertical="top" wrapText="1"/>
    </xf>
    <xf numFmtId="9" fontId="0" fillId="0" borderId="0" xfId="1" applyFont="1"/>
    <xf numFmtId="0" fontId="0" fillId="0" borderId="15" xfId="0" applyBorder="1" applyAlignment="1">
      <alignment horizontal="right"/>
    </xf>
    <xf numFmtId="8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 wrapText="1"/>
    </xf>
    <xf numFmtId="2" fontId="5" fillId="0" borderId="4" xfId="0" applyNumberFormat="1" applyFont="1" applyBorder="1" applyAlignment="1">
      <alignment vertical="top" wrapText="1"/>
    </xf>
    <xf numFmtId="165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right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8" fontId="0" fillId="4" borderId="2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0" fontId="1" fillId="2" borderId="21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4" borderId="18" xfId="0" applyFill="1" applyBorder="1" applyAlignment="1" applyProtection="1">
      <alignment horizontal="left" indent="1"/>
      <protection locked="0"/>
    </xf>
    <xf numFmtId="0" fontId="0" fillId="4" borderId="1" xfId="0" applyFill="1" applyBorder="1" applyAlignment="1" applyProtection="1">
      <alignment horizontal="left" indent="1"/>
      <protection locked="0"/>
    </xf>
    <xf numFmtId="0" fontId="1" fillId="0" borderId="1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8" fontId="0" fillId="0" borderId="1" xfId="0" applyNumberFormat="1" applyBorder="1" applyProtection="1">
      <protection locked="0"/>
    </xf>
    <xf numFmtId="8" fontId="0" fillId="0" borderId="18" xfId="0" applyNumberFormat="1" applyBorder="1" applyProtection="1">
      <protection locked="0"/>
    </xf>
    <xf numFmtId="8" fontId="0" fillId="0" borderId="2" xfId="0" applyNumberForma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8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8" fontId="0" fillId="4" borderId="1" xfId="0" applyNumberFormat="1" applyFill="1" applyBorder="1" applyAlignment="1" applyProtection="1">
      <alignment horizontal="right"/>
      <protection locked="0"/>
    </xf>
    <xf numFmtId="8" fontId="2" fillId="5" borderId="33" xfId="0" applyNumberFormat="1" applyFont="1" applyFill="1" applyBorder="1" applyAlignment="1" applyProtection="1">
      <alignment horizontal="left"/>
      <protection locked="0"/>
    </xf>
    <xf numFmtId="0" fontId="7" fillId="5" borderId="33" xfId="0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6" borderId="0" xfId="0" applyFill="1" applyProtection="1">
      <protection locked="0"/>
    </xf>
    <xf numFmtId="0" fontId="1" fillId="6" borderId="0" xfId="0" applyFont="1" applyFill="1" applyProtection="1">
      <protection locked="0"/>
    </xf>
    <xf numFmtId="0" fontId="0" fillId="6" borderId="21" xfId="0" applyFill="1" applyBorder="1" applyProtection="1">
      <protection locked="0"/>
    </xf>
    <xf numFmtId="0" fontId="1" fillId="6" borderId="21" xfId="0" applyFont="1" applyFill="1" applyBorder="1" applyProtection="1">
      <protection locked="0"/>
    </xf>
    <xf numFmtId="0" fontId="1" fillId="0" borderId="17" xfId="0" applyFont="1" applyBorder="1" applyProtection="1">
      <protection locked="0"/>
    </xf>
    <xf numFmtId="0" fontId="0" fillId="6" borderId="1" xfId="0" applyFill="1" applyBorder="1" applyProtection="1">
      <protection locked="0"/>
    </xf>
    <xf numFmtId="8" fontId="0" fillId="6" borderId="1" xfId="0" applyNumberFormat="1" applyFill="1" applyBorder="1" applyProtection="1">
      <protection locked="0"/>
    </xf>
    <xf numFmtId="8" fontId="0" fillId="0" borderId="18" xfId="0" applyNumberForma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2" fontId="0" fillId="0" borderId="18" xfId="0" applyNumberForma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1" fontId="1" fillId="0" borderId="3" xfId="0" applyNumberFormat="1" applyFont="1" applyBorder="1" applyProtection="1">
      <protection locked="0"/>
    </xf>
    <xf numFmtId="8" fontId="0" fillId="6" borderId="3" xfId="0" applyNumberFormat="1" applyFill="1" applyBorder="1" applyProtection="1">
      <protection locked="0"/>
    </xf>
    <xf numFmtId="0" fontId="1" fillId="0" borderId="35" xfId="0" applyFont="1" applyBorder="1" applyProtection="1">
      <protection locked="0"/>
    </xf>
    <xf numFmtId="8" fontId="0" fillId="6" borderId="35" xfId="0" applyNumberFormat="1" applyFill="1" applyBorder="1" applyProtection="1">
      <protection locked="0"/>
    </xf>
    <xf numFmtId="8" fontId="0" fillId="0" borderId="35" xfId="0" applyNumberFormat="1" applyBorder="1" applyProtection="1">
      <protection locked="0"/>
    </xf>
    <xf numFmtId="164" fontId="1" fillId="0" borderId="35" xfId="0" applyNumberFormat="1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1" fillId="4" borderId="2" xfId="0" applyFont="1" applyFill="1" applyBorder="1" applyProtection="1">
      <protection locked="0"/>
    </xf>
    <xf numFmtId="8" fontId="0" fillId="0" borderId="3" xfId="0" applyNumberForma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9" fontId="0" fillId="0" borderId="1" xfId="0" applyNumberFormat="1" applyBorder="1" applyAlignment="1" applyProtection="1">
      <alignment horizontal="right"/>
      <protection locked="0"/>
    </xf>
    <xf numFmtId="9" fontId="0" fillId="0" borderId="1" xfId="0" quotePrefix="1" applyNumberFormat="1" applyBorder="1" applyAlignment="1" applyProtection="1">
      <alignment horizontal="right"/>
      <protection locked="0"/>
    </xf>
    <xf numFmtId="0" fontId="1" fillId="0" borderId="27" xfId="0" applyFont="1" applyBorder="1" applyProtection="1">
      <protection locked="0"/>
    </xf>
    <xf numFmtId="166" fontId="0" fillId="4" borderId="1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8" fontId="0" fillId="4" borderId="1" xfId="0" applyNumberFormat="1" applyFill="1" applyBorder="1" applyProtection="1">
      <protection locked="0"/>
    </xf>
    <xf numFmtId="0" fontId="0" fillId="6" borderId="0" xfId="0" applyFill="1"/>
    <xf numFmtId="0" fontId="0" fillId="2" borderId="19" xfId="0" applyFill="1" applyBorder="1"/>
    <xf numFmtId="0" fontId="0" fillId="2" borderId="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7" xfId="0" applyFill="1" applyBorder="1"/>
    <xf numFmtId="0" fontId="0" fillId="0" borderId="1" xfId="0" applyBorder="1"/>
    <xf numFmtId="168" fontId="0" fillId="0" borderId="1" xfId="0" applyNumberFormat="1" applyBorder="1"/>
    <xf numFmtId="8" fontId="0" fillId="0" borderId="1" xfId="0" applyNumberFormat="1" applyBorder="1"/>
    <xf numFmtId="170" fontId="0" fillId="0" borderId="7" xfId="0" applyNumberFormat="1" applyBorder="1"/>
    <xf numFmtId="0" fontId="0" fillId="0" borderId="39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7" fontId="0" fillId="0" borderId="2" xfId="0" applyNumberFormat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166" fontId="0" fillId="0" borderId="1" xfId="0" applyNumberFormat="1" applyBorder="1"/>
    <xf numFmtId="8" fontId="0" fillId="0" borderId="37" xfId="0" applyNumberFormat="1" applyBorder="1" applyAlignment="1">
      <alignment horizontal="right"/>
    </xf>
    <xf numFmtId="8" fontId="0" fillId="0" borderId="37" xfId="0" applyNumberFormat="1" applyBorder="1"/>
    <xf numFmtId="0" fontId="0" fillId="0" borderId="18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7" borderId="18" xfId="0" applyFill="1" applyBorder="1"/>
    <xf numFmtId="3" fontId="0" fillId="0" borderId="1" xfId="0" applyNumberFormat="1" applyBorder="1"/>
    <xf numFmtId="1" fontId="0" fillId="6" borderId="0" xfId="0" applyNumberFormat="1" applyFill="1"/>
    <xf numFmtId="8" fontId="2" fillId="5" borderId="33" xfId="0" applyNumberFormat="1" applyFont="1" applyFill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quotePrefix="1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8" xfId="0" applyFont="1" applyBorder="1"/>
    <xf numFmtId="0" fontId="1" fillId="0" borderId="1" xfId="0" applyFont="1" applyBorder="1"/>
    <xf numFmtId="1" fontId="1" fillId="0" borderId="18" xfId="0" applyNumberFormat="1" applyFont="1" applyBorder="1"/>
    <xf numFmtId="0" fontId="1" fillId="6" borderId="0" xfId="0" applyFont="1" applyFill="1"/>
    <xf numFmtId="0" fontId="1" fillId="2" borderId="21" xfId="0" applyFont="1" applyFill="1" applyBorder="1"/>
    <xf numFmtId="0" fontId="0" fillId="0" borderId="18" xfId="0" applyBorder="1"/>
    <xf numFmtId="8" fontId="0" fillId="0" borderId="18" xfId="0" applyNumberFormat="1" applyBorder="1"/>
    <xf numFmtId="8" fontId="0" fillId="0" borderId="2" xfId="0" applyNumberFormat="1" applyBorder="1"/>
    <xf numFmtId="0" fontId="1" fillId="6" borderId="21" xfId="0" applyFont="1" applyFill="1" applyBorder="1"/>
    <xf numFmtId="0" fontId="0" fillId="6" borderId="21" xfId="0" applyFill="1" applyBorder="1"/>
    <xf numFmtId="0" fontId="1" fillId="0" borderId="3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18" xfId="0" applyNumberFormat="1" applyFont="1" applyBorder="1"/>
    <xf numFmtId="0" fontId="7" fillId="5" borderId="33" xfId="0" applyFont="1" applyFill="1" applyBorder="1"/>
    <xf numFmtId="0" fontId="0" fillId="7" borderId="0" xfId="0" applyFill="1"/>
    <xf numFmtId="0" fontId="0" fillId="6" borderId="0" xfId="0" applyFill="1" applyAlignment="1">
      <alignment horizontal="left" indent="1"/>
    </xf>
    <xf numFmtId="0" fontId="0" fillId="6" borderId="0" xfId="0" applyFill="1" applyAlignment="1">
      <alignment horizontal="left" indent="2"/>
    </xf>
    <xf numFmtId="0" fontId="0" fillId="2" borderId="4" xfId="0" applyFill="1" applyBorder="1" applyAlignment="1">
      <alignment horizontal="left" indent="1"/>
    </xf>
    <xf numFmtId="0" fontId="0" fillId="2" borderId="4" xfId="0" applyFill="1" applyBorder="1" applyAlignment="1">
      <alignment horizontal="left" indent="2"/>
    </xf>
    <xf numFmtId="8" fontId="2" fillId="0" borderId="18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8" fontId="0" fillId="0" borderId="9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8" fontId="0" fillId="0" borderId="7" xfId="0" applyNumberFormat="1" applyBorder="1"/>
    <xf numFmtId="8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8" fontId="0" fillId="0" borderId="9" xfId="0" applyNumberFormat="1" applyBorder="1"/>
    <xf numFmtId="164" fontId="1" fillId="0" borderId="3" xfId="0" applyNumberFormat="1" applyFont="1" applyBorder="1"/>
    <xf numFmtId="0" fontId="0" fillId="2" borderId="23" xfId="0" applyFill="1" applyBorder="1" applyAlignment="1">
      <alignment horizontal="left" indent="2"/>
    </xf>
    <xf numFmtId="8" fontId="0" fillId="6" borderId="0" xfId="0" applyNumberFormat="1" applyFill="1" applyAlignment="1">
      <alignment horizontal="left" indent="1"/>
    </xf>
    <xf numFmtId="8" fontId="0" fillId="6" borderId="0" xfId="0" applyNumberFormat="1" applyFill="1"/>
    <xf numFmtId="8" fontId="0" fillId="2" borderId="4" xfId="0" applyNumberFormat="1" applyFill="1" applyBorder="1" applyAlignment="1">
      <alignment horizontal="left" indent="1"/>
    </xf>
    <xf numFmtId="8" fontId="0" fillId="2" borderId="4" xfId="0" applyNumberFormat="1" applyFill="1" applyBorder="1"/>
    <xf numFmtId="10" fontId="1" fillId="0" borderId="9" xfId="0" applyNumberFormat="1" applyFont="1" applyBorder="1"/>
    <xf numFmtId="9" fontId="0" fillId="0" borderId="9" xfId="0" applyNumberFormat="1" applyBorder="1"/>
    <xf numFmtId="0" fontId="1" fillId="0" borderId="7" xfId="0" applyFont="1" applyBorder="1"/>
    <xf numFmtId="164" fontId="1" fillId="0" borderId="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8" fontId="1" fillId="0" borderId="13" xfId="0" applyNumberFormat="1" applyFont="1" applyBorder="1" applyAlignment="1">
      <alignment horizontal="right"/>
    </xf>
    <xf numFmtId="8" fontId="0" fillId="0" borderId="6" xfId="0" applyNumberFormat="1" applyBorder="1" applyAlignment="1">
      <alignment horizontal="right"/>
    </xf>
    <xf numFmtId="9" fontId="0" fillId="0" borderId="7" xfId="0" applyNumberFormat="1" applyBorder="1"/>
    <xf numFmtId="164" fontId="0" fillId="2" borderId="23" xfId="0" applyNumberFormat="1" applyFill="1" applyBorder="1"/>
    <xf numFmtId="9" fontId="0" fillId="2" borderId="23" xfId="0" applyNumberFormat="1" applyFill="1" applyBorder="1"/>
    <xf numFmtId="164" fontId="0" fillId="6" borderId="0" xfId="0" applyNumberFormat="1" applyFill="1"/>
    <xf numFmtId="9" fontId="0" fillId="6" borderId="0" xfId="0" applyNumberFormat="1" applyFill="1"/>
    <xf numFmtId="0" fontId="0" fillId="2" borderId="19" xfId="0" applyFill="1" applyBorder="1" applyAlignment="1">
      <alignment horizontal="left" indent="1"/>
    </xf>
    <xf numFmtId="164" fontId="0" fillId="2" borderId="4" xfId="0" applyNumberFormat="1" applyFill="1" applyBorder="1"/>
    <xf numFmtId="9" fontId="0" fillId="2" borderId="4" xfId="0" applyNumberFormat="1" applyFill="1" applyBorder="1"/>
    <xf numFmtId="0" fontId="0" fillId="2" borderId="17" xfId="0" applyFill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0" fillId="0" borderId="37" xfId="0" applyBorder="1"/>
    <xf numFmtId="0" fontId="0" fillId="0" borderId="1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8" fontId="0" fillId="0" borderId="1" xfId="0" applyNumberFormat="1" applyBorder="1" applyAlignment="1">
      <alignment horizontal="right"/>
    </xf>
    <xf numFmtId="167" fontId="0" fillId="6" borderId="0" xfId="0" applyNumberFormat="1" applyFill="1"/>
    <xf numFmtId="14" fontId="0" fillId="6" borderId="0" xfId="0" applyNumberFormat="1" applyFill="1"/>
    <xf numFmtId="164" fontId="0" fillId="0" borderId="1" xfId="0" applyNumberFormat="1" applyBorder="1" applyAlignment="1">
      <alignment horizontal="right"/>
    </xf>
    <xf numFmtId="0" fontId="0" fillId="4" borderId="39" xfId="0" applyFill="1" applyBorder="1" applyProtection="1">
      <protection locked="0"/>
    </xf>
    <xf numFmtId="3" fontId="0" fillId="4" borderId="32" xfId="0" applyNumberFormat="1" applyFill="1" applyBorder="1" applyProtection="1">
      <protection locked="0"/>
    </xf>
    <xf numFmtId="8" fontId="0" fillId="4" borderId="32" xfId="0" applyNumberFormat="1" applyFill="1" applyBorder="1" applyProtection="1">
      <protection locked="0"/>
    </xf>
    <xf numFmtId="3" fontId="0" fillId="0" borderId="32" xfId="0" applyNumberFormat="1" applyBorder="1"/>
    <xf numFmtId="8" fontId="0" fillId="0" borderId="32" xfId="0" applyNumberFormat="1" applyBorder="1"/>
    <xf numFmtId="0" fontId="0" fillId="0" borderId="32" xfId="0" applyBorder="1"/>
    <xf numFmtId="0" fontId="0" fillId="7" borderId="40" xfId="0" applyFill="1" applyBorder="1"/>
    <xf numFmtId="167" fontId="0" fillId="0" borderId="10" xfId="0" applyNumberFormat="1" applyBorder="1" applyAlignment="1">
      <alignment horizontal="right"/>
    </xf>
    <xf numFmtId="3" fontId="0" fillId="0" borderId="41" xfId="0" applyNumberFormat="1" applyBorder="1"/>
    <xf numFmtId="167" fontId="0" fillId="0" borderId="41" xfId="0" applyNumberFormat="1" applyBorder="1" applyAlignment="1">
      <alignment horizontal="right"/>
    </xf>
    <xf numFmtId="0" fontId="0" fillId="6" borderId="40" xfId="0" applyFill="1" applyBorder="1" applyProtection="1"/>
    <xf numFmtId="167" fontId="0" fillId="6" borderId="10" xfId="0" applyNumberFormat="1" applyFill="1" applyBorder="1" applyAlignment="1" applyProtection="1">
      <alignment horizontal="right"/>
    </xf>
    <xf numFmtId="3" fontId="0" fillId="6" borderId="41" xfId="0" applyNumberFormat="1" applyFill="1" applyBorder="1" applyProtection="1"/>
    <xf numFmtId="8" fontId="2" fillId="0" borderId="0" xfId="0" applyNumberFormat="1" applyFont="1" applyAlignment="1">
      <alignment horizontal="left"/>
    </xf>
    <xf numFmtId="164" fontId="0" fillId="0" borderId="17" xfId="0" applyNumberFormat="1" applyBorder="1" applyAlignment="1">
      <alignment horizontal="left" indent="1"/>
    </xf>
    <xf numFmtId="0" fontId="0" fillId="2" borderId="0" xfId="0" applyFill="1" applyBorder="1"/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2"/>
    </xf>
    <xf numFmtId="0" fontId="1" fillId="2" borderId="0" xfId="0" applyFont="1" applyFill="1" applyBorder="1"/>
    <xf numFmtId="8" fontId="0" fillId="2" borderId="19" xfId="0" applyNumberFormat="1" applyFill="1" applyBorder="1" applyAlignment="1">
      <alignment horizontal="left" indent="1"/>
    </xf>
    <xf numFmtId="8" fontId="0" fillId="2" borderId="0" xfId="0" applyNumberFormat="1" applyFill="1" applyBorder="1"/>
    <xf numFmtId="8" fontId="0" fillId="2" borderId="17" xfId="0" applyNumberFormat="1" applyFill="1" applyBorder="1" applyAlignment="1">
      <alignment horizontal="left" indent="1"/>
    </xf>
    <xf numFmtId="8" fontId="0" fillId="2" borderId="0" xfId="0" applyNumberFormat="1" applyFill="1" applyBorder="1" applyAlignment="1">
      <alignment horizontal="left" indent="1"/>
    </xf>
    <xf numFmtId="8" fontId="2" fillId="2" borderId="0" xfId="0" applyNumberFormat="1" applyFont="1" applyFill="1" applyBorder="1" applyAlignment="1">
      <alignment horizontal="left" indent="1"/>
    </xf>
    <xf numFmtId="0" fontId="3" fillId="2" borderId="0" xfId="0" applyFont="1" applyFill="1" applyBorder="1"/>
    <xf numFmtId="9" fontId="1" fillId="2" borderId="0" xfId="0" applyNumberFormat="1" applyFont="1" applyFill="1" applyBorder="1"/>
    <xf numFmtId="169" fontId="1" fillId="0" borderId="0" xfId="0" applyNumberFormat="1" applyFont="1" applyBorder="1" applyAlignment="1">
      <alignment horizontal="left"/>
    </xf>
    <xf numFmtId="169" fontId="1" fillId="0" borderId="0" xfId="1" applyNumberFormat="1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center"/>
    </xf>
    <xf numFmtId="164" fontId="0" fillId="2" borderId="0" xfId="0" applyNumberFormat="1" applyFill="1" applyBorder="1"/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17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0" fillId="7" borderId="0" xfId="0" applyFill="1" applyBorder="1" applyAlignment="1">
      <alignment horizontal="left"/>
    </xf>
    <xf numFmtId="8" fontId="0" fillId="0" borderId="0" xfId="0" applyNumberFormat="1" applyBorder="1"/>
    <xf numFmtId="1" fontId="0" fillId="0" borderId="1" xfId="0" applyNumberFormat="1" applyBorder="1"/>
    <xf numFmtId="166" fontId="1" fillId="4" borderId="38" xfId="0" applyNumberFormat="1" applyFont="1" applyFill="1" applyBorder="1" applyAlignment="1" applyProtection="1">
      <alignment horizontal="left"/>
      <protection locked="0"/>
    </xf>
    <xf numFmtId="0" fontId="0" fillId="6" borderId="2" xfId="0" applyFill="1" applyBorder="1"/>
    <xf numFmtId="0" fontId="0" fillId="6" borderId="3" xfId="0" applyFill="1" applyBorder="1" applyAlignment="1"/>
    <xf numFmtId="1" fontId="0" fillId="6" borderId="2" xfId="0" applyNumberFormat="1" applyFill="1" applyBorder="1"/>
    <xf numFmtId="0" fontId="0" fillId="6" borderId="3" xfId="0" applyFill="1" applyBorder="1"/>
    <xf numFmtId="7" fontId="1" fillId="0" borderId="6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9" fontId="0" fillId="0" borderId="0" xfId="0" applyNumberFormat="1"/>
    <xf numFmtId="8" fontId="5" fillId="0" borderId="0" xfId="0" applyNumberFormat="1" applyFont="1" applyAlignment="1">
      <alignment vertical="top" wrapText="1"/>
    </xf>
    <xf numFmtId="0" fontId="0" fillId="6" borderId="0" xfId="0" applyFont="1" applyFill="1"/>
    <xf numFmtId="10" fontId="0" fillId="0" borderId="1" xfId="1" applyNumberFormat="1" applyFont="1" applyBorder="1"/>
    <xf numFmtId="9" fontId="4" fillId="0" borderId="1" xfId="1" applyFont="1" applyBorder="1" applyProtection="1">
      <protection locked="0"/>
    </xf>
    <xf numFmtId="0" fontId="9" fillId="6" borderId="0" xfId="0" applyFont="1" applyFill="1"/>
    <xf numFmtId="3" fontId="0" fillId="6" borderId="0" xfId="0" applyNumberFormat="1" applyFill="1"/>
    <xf numFmtId="1" fontId="0" fillId="0" borderId="32" xfId="0" applyNumberFormat="1" applyBorder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3" borderId="28" xfId="0" applyFill="1" applyBorder="1" applyAlignment="1">
      <alignment horizontal="left" indent="1"/>
    </xf>
    <xf numFmtId="0" fontId="0" fillId="3" borderId="25" xfId="0" applyFill="1" applyBorder="1" applyAlignment="1">
      <alignment horizontal="left" indent="1"/>
    </xf>
    <xf numFmtId="164" fontId="1" fillId="0" borderId="27" xfId="0" applyNumberFormat="1" applyFont="1" applyBorder="1" applyAlignment="1">
      <alignment horizontal="left" indent="1"/>
    </xf>
    <xf numFmtId="164" fontId="1" fillId="0" borderId="13" xfId="0" applyNumberFormat="1" applyFont="1" applyBorder="1" applyAlignment="1">
      <alignment horizontal="left" indent="1"/>
    </xf>
    <xf numFmtId="164" fontId="0" fillId="0" borderId="17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0" fillId="2" borderId="30" xfId="0" applyFill="1" applyBorder="1" applyAlignment="1">
      <alignment horizontal="left" indent="1"/>
    </xf>
    <xf numFmtId="0" fontId="0" fillId="2" borderId="31" xfId="0" applyFill="1" applyBorder="1" applyAlignment="1">
      <alignment horizontal="left" indent="1"/>
    </xf>
    <xf numFmtId="164" fontId="0" fillId="0" borderId="29" xfId="0" applyNumberFormat="1" applyBorder="1" applyAlignment="1">
      <alignment horizontal="left" indent="1"/>
    </xf>
    <xf numFmtId="164" fontId="0" fillId="0" borderId="16" xfId="0" applyNumberFormat="1" applyBorder="1" applyAlignment="1">
      <alignment horizontal="left" indent="1"/>
    </xf>
    <xf numFmtId="164" fontId="0" fillId="0" borderId="26" xfId="0" applyNumberFormat="1" applyBorder="1" applyAlignment="1">
      <alignment horizontal="left" indent="1"/>
    </xf>
    <xf numFmtId="164" fontId="0" fillId="0" borderId="6" xfId="0" applyNumberFormat="1" applyBorder="1" applyAlignment="1">
      <alignment horizontal="left" indent="1"/>
    </xf>
    <xf numFmtId="8" fontId="0" fillId="0" borderId="15" xfId="0" applyNumberFormat="1" applyBorder="1" applyAlignment="1">
      <alignment horizontal="left" indent="1"/>
    </xf>
    <xf numFmtId="8" fontId="0" fillId="0" borderId="12" xfId="0" applyNumberForma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7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8" fontId="0" fillId="0" borderId="27" xfId="0" applyNumberFormat="1" applyBorder="1" applyAlignment="1">
      <alignment horizontal="left" indent="1"/>
    </xf>
    <xf numFmtId="8" fontId="0" fillId="0" borderId="13" xfId="0" applyNumberFormat="1" applyBorder="1" applyAlignment="1">
      <alignment horizontal="left" indent="1"/>
    </xf>
    <xf numFmtId="8" fontId="0" fillId="3" borderId="28" xfId="0" applyNumberFormat="1" applyFill="1" applyBorder="1" applyAlignment="1">
      <alignment horizontal="left" indent="1"/>
    </xf>
    <xf numFmtId="8" fontId="0" fillId="3" borderId="25" xfId="0" applyNumberFormat="1" applyFill="1" applyBorder="1" applyAlignment="1">
      <alignment horizontal="left" indent="1"/>
    </xf>
    <xf numFmtId="8" fontId="0" fillId="0" borderId="3" xfId="0" applyNumberFormat="1" applyBorder="1" applyAlignment="1">
      <alignment horizontal="left" indent="1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8" fontId="2" fillId="0" borderId="26" xfId="0" applyNumberFormat="1" applyFont="1" applyBorder="1" applyAlignment="1">
      <alignment horizontal="left"/>
    </xf>
    <xf numFmtId="8" fontId="2" fillId="0" borderId="6" xfId="0" applyNumberFormat="1" applyFont="1" applyBorder="1" applyAlignment="1">
      <alignment horizontal="left"/>
    </xf>
    <xf numFmtId="8" fontId="2" fillId="0" borderId="7" xfId="0" applyNumberFormat="1" applyFont="1" applyBorder="1" applyAlignment="1">
      <alignment horizontal="left"/>
    </xf>
    <xf numFmtId="8" fontId="2" fillId="0" borderId="17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 horizontal="left"/>
    </xf>
    <xf numFmtId="8" fontId="2" fillId="0" borderId="9" xfId="0" applyNumberFormat="1" applyFont="1" applyBorder="1" applyAlignment="1">
      <alignment horizontal="left"/>
    </xf>
    <xf numFmtId="8" fontId="3" fillId="0" borderId="5" xfId="0" applyNumberFormat="1" applyFont="1" applyBorder="1" applyAlignment="1">
      <alignment horizontal="left"/>
    </xf>
    <xf numFmtId="8" fontId="3" fillId="0" borderId="6" xfId="0" applyNumberFormat="1" applyFont="1" applyBorder="1" applyAlignment="1">
      <alignment horizontal="left"/>
    </xf>
    <xf numFmtId="8" fontId="3" fillId="0" borderId="7" xfId="0" applyNumberFormat="1" applyFont="1" applyBorder="1" applyAlignment="1">
      <alignment horizontal="left"/>
    </xf>
    <xf numFmtId="8" fontId="3" fillId="0" borderId="8" xfId="0" applyNumberFormat="1" applyFont="1" applyBorder="1" applyAlignment="1">
      <alignment horizontal="left"/>
    </xf>
    <xf numFmtId="8" fontId="3" fillId="0" borderId="0" xfId="0" applyNumberFormat="1" applyFont="1" applyBorder="1" applyAlignment="1">
      <alignment horizontal="left"/>
    </xf>
    <xf numFmtId="8" fontId="3" fillId="0" borderId="9" xfId="0" applyNumberFormat="1" applyFont="1" applyBorder="1" applyAlignment="1">
      <alignment horizontal="left"/>
    </xf>
    <xf numFmtId="8" fontId="2" fillId="0" borderId="27" xfId="0" applyNumberFormat="1" applyFont="1" applyBorder="1" applyAlignment="1">
      <alignment horizontal="left" indent="1"/>
    </xf>
    <xf numFmtId="8" fontId="2" fillId="0" borderId="3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29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64" fontId="1" fillId="0" borderId="26" xfId="0" applyNumberFormat="1" applyFont="1" applyBorder="1" applyAlignment="1">
      <alignment horizontal="left" indent="1"/>
    </xf>
    <xf numFmtId="164" fontId="1" fillId="0" borderId="6" xfId="0" applyNumberFormat="1" applyFont="1" applyBorder="1" applyAlignment="1">
      <alignment horizontal="left" inden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28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6" borderId="13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  <border>
        <vertical/>
        <horizontal/>
      </border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8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</dxfs>
  <tableStyles count="0" defaultTableStyle="TableStyleMedium2" defaultPivotStyle="PivotStyleLight16"/>
  <colors>
    <mruColors>
      <color rgb="FFFF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Predogled - življ. doba</a:t>
            </a:r>
            <a:endParaRPr lang="sl-SI"/>
          </a:p>
        </c:rich>
      </c:tx>
      <c:layout>
        <c:manualLayout>
          <c:xMode val="edge"/>
          <c:yMode val="edge"/>
          <c:x val="0.34684182198571101"/>
          <c:y val="2.7491122433225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20138801011009341"/>
          <c:y val="0.1427715854108397"/>
          <c:w val="0.73135741554298073"/>
          <c:h val="0.73924087843432196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'Scenariji - Različna življ doba'!$C$4:$M$4</c:f>
              <c:strCache>
                <c:ptCount val="11"/>
                <c:pt idx="0">
                  <c:v>ni podatka</c:v>
                </c:pt>
                <c:pt idx="1">
                  <c:v>ni podatka</c:v>
                </c:pt>
                <c:pt idx="2">
                  <c:v>ni podatka</c:v>
                </c:pt>
                <c:pt idx="3">
                  <c:v>ni podatka</c:v>
                </c:pt>
                <c:pt idx="4">
                  <c:v>ni podatka</c:v>
                </c:pt>
                <c:pt idx="5">
                  <c:v>ni podatka</c:v>
                </c:pt>
                <c:pt idx="6">
                  <c:v>ni podatka</c:v>
                </c:pt>
                <c:pt idx="7">
                  <c:v>ni podatka</c:v>
                </c:pt>
                <c:pt idx="8">
                  <c:v>ni podatka</c:v>
                </c:pt>
                <c:pt idx="9">
                  <c:v>ni podatka</c:v>
                </c:pt>
                <c:pt idx="10">
                  <c:v>ni podatka</c:v>
                </c:pt>
              </c:strCache>
            </c:strRef>
          </c:xVal>
          <c:yVal>
            <c:numRef>
              <c:f>'Scenariji - Različna življ doba'!$C$12:$M$12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24-48D5-AED1-3568C4119668}"/>
            </c:ext>
          </c:extLst>
        </c:ser>
        <c:ser>
          <c:idx val="2"/>
          <c:order val="1"/>
          <c:tx>
            <c:v>Meja (nakup)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xVal>
            <c:strRef>
              <c:f>'Scenariji - Različna življ doba'!$N$4</c:f>
              <c:strCache>
                <c:ptCount val="1"/>
                <c:pt idx="0">
                  <c:v>ni podatka</c:v>
                </c:pt>
              </c:strCache>
            </c:strRef>
          </c:xVal>
          <c:yVal>
            <c:numRef>
              <c:f>'Scenariji - Različna življ doba'!$N$12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24-48D5-AED1-3568C4119668}"/>
            </c:ext>
          </c:extLst>
        </c:ser>
        <c:ser>
          <c:idx val="1"/>
          <c:order val="2"/>
          <c:tx>
            <c:v>Poslovni najem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'Scenariji - Različna življ doba'!$C$4:$M$4</c:f>
              <c:strCache>
                <c:ptCount val="11"/>
                <c:pt idx="0">
                  <c:v>ni podatka</c:v>
                </c:pt>
                <c:pt idx="1">
                  <c:v>ni podatka</c:v>
                </c:pt>
                <c:pt idx="2">
                  <c:v>ni podatka</c:v>
                </c:pt>
                <c:pt idx="3">
                  <c:v>ni podatka</c:v>
                </c:pt>
                <c:pt idx="4">
                  <c:v>ni podatka</c:v>
                </c:pt>
                <c:pt idx="5">
                  <c:v>ni podatka</c:v>
                </c:pt>
                <c:pt idx="6">
                  <c:v>ni podatka</c:v>
                </c:pt>
                <c:pt idx="7">
                  <c:v>ni podatka</c:v>
                </c:pt>
                <c:pt idx="8">
                  <c:v>ni podatka</c:v>
                </c:pt>
                <c:pt idx="9">
                  <c:v>ni podatka</c:v>
                </c:pt>
                <c:pt idx="10">
                  <c:v>ni podatka</c:v>
                </c:pt>
              </c:strCache>
            </c:strRef>
          </c:xVal>
          <c:yVal>
            <c:numRef>
              <c:f>'Scenariji - Različna življ doba'!$C$23:$M$23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24-48D5-AED1-3568C4119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  <c:majorUnit val="1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38100">
        <a:schemeClr val="tx1">
          <a:alpha val="40000"/>
        </a:schemeClr>
      </a:glow>
      <a:softEdge rad="0"/>
    </a:effectLst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sl-SI" sz="1100" b="0"/>
              <a:t>Predogled</a:t>
            </a:r>
            <a:r>
              <a:rPr lang="sl-SI" sz="1100" b="0" baseline="0"/>
              <a:t> - št. storitev</a:t>
            </a:r>
            <a:endParaRPr lang="sl-SI" sz="1100" b="0"/>
          </a:p>
        </c:rich>
      </c:tx>
      <c:layout>
        <c:manualLayout>
          <c:xMode val="edge"/>
          <c:yMode val="edge"/>
          <c:x val="0.36455862588222049"/>
          <c:y val="4.26179604261796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32985096764623"/>
          <c:y val="0.15414134876975993"/>
          <c:w val="0.77779076141280856"/>
          <c:h val="0.72080969330888434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Različno št. stor.'!$C$4:$M$4</c:f>
            </c:numRef>
          </c:xVal>
          <c:yVal>
            <c:numRef>
              <c:f>'Scenariji - Različno št. stor.'!$C$12:$M$12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EC-44D5-BA76-8643A9DD1B24}"/>
            </c:ext>
          </c:extLst>
        </c:ser>
        <c:ser>
          <c:idx val="2"/>
          <c:order val="1"/>
          <c:tx>
            <c:v>Meja (Nakup)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xVal>
            <c:strRef>
              <c:f>'Scenariji - Različno št. stor.'!$N$4</c:f>
              <c:strCache>
                <c:ptCount val="1"/>
                <c:pt idx="0">
                  <c:v>ni podatka</c:v>
                </c:pt>
              </c:strCache>
            </c:strRef>
          </c:xVal>
          <c:yVal>
            <c:numRef>
              <c:f>'Scenariji - Različno št. stor.'!$N$12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EC-44D5-BA76-8643A9DD1B24}"/>
            </c:ext>
          </c:extLst>
        </c:ser>
        <c:ser>
          <c:idx val="1"/>
          <c:order val="2"/>
          <c:tx>
            <c:v>Poslovni najem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'Scenariji - Različno št. stor.'!$C$15:$M$15</c:f>
            </c:numRef>
          </c:xVal>
          <c:yVal>
            <c:numRef>
              <c:f>'Scenariji - Različno št. stor.'!$C$23:$M$23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EC-44D5-BA76-8643A9DD1B24}"/>
            </c:ext>
          </c:extLst>
        </c:ser>
        <c:ser>
          <c:idx val="3"/>
          <c:order val="3"/>
          <c:tx>
            <c:v>Meja (Poslovni najem)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accent6"/>
                </a:solidFill>
              </a:ln>
              <a:effectLst/>
            </c:spPr>
          </c:marker>
          <c:xVal>
            <c:strRef>
              <c:f>'Scenariji - Različno št. stor.'!$N$15</c:f>
              <c:strCache>
                <c:ptCount val="1"/>
                <c:pt idx="0">
                  <c:v>ni podatka</c:v>
                </c:pt>
              </c:strCache>
            </c:strRef>
          </c:xVal>
          <c:yVal>
            <c:numRef>
              <c:f>'Scenariji - Različno št. stor.'!$N$23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EC-44D5-BA76-8643A9DD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  <c:min val="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 rad="38100">
        <a:schemeClr val="tx1">
          <a:alpha val="40000"/>
        </a:schemeClr>
      </a:glow>
    </a:effectLst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 sz="1100" b="0" i="0" baseline="0">
                <a:solidFill>
                  <a:sysClr val="windowText" lastClr="000000"/>
                </a:solidFill>
                <a:effectLst/>
              </a:rPr>
              <a:t>Predogled - življ. doba</a:t>
            </a:r>
            <a:endParaRPr lang="sl-SI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558512160228898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0738320933023869"/>
          <c:y val="0.12858598557533249"/>
          <c:w val="0.82154530270493042"/>
          <c:h val="0.75686274509803919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Različna življ doba'!$C$50:$M$50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Različna življ doba'!$C$58:$M$58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88-4AE3-B25D-DA8016E288F3}"/>
            </c:ext>
          </c:extLst>
        </c:ser>
        <c:ser>
          <c:idx val="2"/>
          <c:order val="1"/>
          <c:tx>
            <c:v>Meja (nakup)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Različna življ doba'!$N$50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'Scenariji - Različna življ doba'!$N$58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88-4AE3-B25D-DA8016E288F3}"/>
            </c:ext>
          </c:extLst>
        </c:ser>
        <c:ser>
          <c:idx val="1"/>
          <c:order val="2"/>
          <c:tx>
            <c:v>Poslovni najem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'Scenariji - Različna življ doba'!$C$50:$M$50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Različna življ doba'!$C$70:$M$70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88-4AE3-B25D-DA8016E2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  <c:majorUnit val="1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 sz="1100" b="0" i="0"/>
              <a:t>Predogled</a:t>
            </a:r>
            <a:r>
              <a:rPr lang="sl-SI" sz="1100" b="0" i="0" baseline="0"/>
              <a:t> - št. storitev</a:t>
            </a:r>
            <a:endParaRPr lang="sl-SI" sz="1100" b="0" i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90463314115972"/>
          <c:y val="0.16154024496937883"/>
          <c:w val="0.80898737549814914"/>
          <c:h val="0.73735826771653545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Različno št. stor.'!$C$50:$M$50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Različno št. stor.'!$C$58:$M$58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2D-4EB1-A71B-ED980AB869C8}"/>
            </c:ext>
          </c:extLst>
        </c:ser>
        <c:ser>
          <c:idx val="2"/>
          <c:order val="1"/>
          <c:tx>
            <c:v>Meja (Nakup)</c:v>
          </c:tx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Različno št. stor.'!$N$50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'Scenariji - Različno št. stor.'!$N$58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2D-4EB1-A71B-ED980AB869C8}"/>
            </c:ext>
          </c:extLst>
        </c:ser>
        <c:ser>
          <c:idx val="1"/>
          <c:order val="2"/>
          <c:tx>
            <c:v>Poslovni najem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'Scenariji - Različno št. stor.'!$C$62:$M$62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Različno št. stor.'!$C$70:$M$70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2D-4EB1-A71B-ED980AB869C8}"/>
            </c:ext>
          </c:extLst>
        </c:ser>
        <c:ser>
          <c:idx val="3"/>
          <c:order val="3"/>
          <c:tx>
            <c:v>Meja (Poslovni najem)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accent6"/>
                </a:solidFill>
              </a:ln>
              <a:effectLst/>
            </c:spPr>
          </c:marker>
          <c:xVal>
            <c:numRef>
              <c:f>'Scenariji - Različno št. stor.'!$N$62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'Scenariji - Različno št. stor.'!$N$70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2D-4EB1-A71B-ED980AB8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  <c:min val="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 b="1" i="0" u="none" strike="noStrike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Življenjske dobe do +/- 25% od izbrane življenjske dobe (pri konstantnem izbranem številu letnih storitev)</a:t>
            </a:r>
            <a:endParaRPr lang="sl-SI" sz="1200" b="1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10909642215775658"/>
          <c:y val="2.0618556701030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3676803067059831"/>
          <c:y val="0.161390805530752"/>
          <c:w val="0.67094838247141064"/>
          <c:h val="0.65876586303000784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FCA6AD6-EE4F-4FD6-8196-EAF6B49E4583}" type="CELLRANGE">
                      <a:rPr lang="en-US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FD5-476E-B1F4-2FB52BB759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CCB64CC-D866-4C1B-A0A1-55428CFB4EBB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FD5-476E-B1F4-2FB52BB759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13F4841-43A1-4B85-BA76-C7C9AEA18E73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FD5-476E-B1F4-2FB52BB759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D91CA-038F-4996-84A4-7CAC8454224B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FD5-476E-B1F4-2FB52BB759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29B31E4-5647-4CC1-8436-00BC7D3880DD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FD5-476E-B1F4-2FB52BB759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A5E9019-E75C-42CB-ADDE-5C616817080E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FD5-476E-B1F4-2FB52BB7592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ABFE632-FFB9-4084-A84A-3E1BAB878E41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FD5-476E-B1F4-2FB52BB7592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AA435B9-C896-4430-8AA3-7BD409916CCE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FD5-476E-B1F4-2FB52BB7592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52695DE-6668-472A-A2CB-D6DB97586366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FD5-476E-B1F4-2FB52BB7592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9AA437E-25CD-4F48-A3BF-8EBAC253E793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FD5-476E-B1F4-2FB52BB7592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45DF4ED-4B5B-46BA-B0BC-C9B222387480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FD5-476E-B1F4-2FB52BB759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'Scenariji - Različna življ doba'!$C$4:$M$4</c:f>
              <c:strCache>
                <c:ptCount val="11"/>
                <c:pt idx="0">
                  <c:v>ni podatka</c:v>
                </c:pt>
                <c:pt idx="1">
                  <c:v>ni podatka</c:v>
                </c:pt>
                <c:pt idx="2">
                  <c:v>ni podatka</c:v>
                </c:pt>
                <c:pt idx="3">
                  <c:v>ni podatka</c:v>
                </c:pt>
                <c:pt idx="4">
                  <c:v>ni podatka</c:v>
                </c:pt>
                <c:pt idx="5">
                  <c:v>ni podatka</c:v>
                </c:pt>
                <c:pt idx="6">
                  <c:v>ni podatka</c:v>
                </c:pt>
                <c:pt idx="7">
                  <c:v>ni podatka</c:v>
                </c:pt>
                <c:pt idx="8">
                  <c:v>ni podatka</c:v>
                </c:pt>
                <c:pt idx="9">
                  <c:v>ni podatka</c:v>
                </c:pt>
                <c:pt idx="10">
                  <c:v>ni podatka</c:v>
                </c:pt>
              </c:strCache>
            </c:strRef>
          </c:xVal>
          <c:yVal>
            <c:numRef>
              <c:f>'Scenariji - Različna življ doba'!$C$12:$M$12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'Scenariji - Različna življ doba'!$C$3:$M$3</c15:f>
                <c15:dlblRangeCache>
                  <c:ptCount val="11"/>
                  <c:pt idx="0">
                    <c:v>-25%</c:v>
                  </c:pt>
                  <c:pt idx="1">
                    <c:v>-20%</c:v>
                  </c:pt>
                  <c:pt idx="2">
                    <c:v>-15%</c:v>
                  </c:pt>
                  <c:pt idx="3">
                    <c:v>-10%</c:v>
                  </c:pt>
                  <c:pt idx="4">
                    <c:v>-5%</c:v>
                  </c:pt>
                  <c:pt idx="5">
                    <c:v>+0%</c:v>
                  </c:pt>
                  <c:pt idx="6">
                    <c:v>+5%</c:v>
                  </c:pt>
                  <c:pt idx="7">
                    <c:v>+10%</c:v>
                  </c:pt>
                  <c:pt idx="8">
                    <c:v>+15%</c:v>
                  </c:pt>
                  <c:pt idx="9">
                    <c:v>+20%</c:v>
                  </c:pt>
                  <c:pt idx="10">
                    <c:v>+25%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6DA-489F-A1F3-0497E6993C24}"/>
            </c:ext>
          </c:extLst>
        </c:ser>
        <c:ser>
          <c:idx val="2"/>
          <c:order val="1"/>
          <c:tx>
            <c:v>Meja (nakup)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1865830820734218E-2"/>
                  <c:y val="-7.62656600914576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5-4A24-8973-908BCC39E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'Scenariji - Različna življ doba'!$N$4</c:f>
              <c:strCache>
                <c:ptCount val="1"/>
                <c:pt idx="0">
                  <c:v>ni podatka</c:v>
                </c:pt>
              </c:strCache>
            </c:strRef>
          </c:xVal>
          <c:yVal>
            <c:numRef>
              <c:f>'Scenariji - Različna življ doba'!$N$12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D5-4A24-8973-908BCC39E0B1}"/>
            </c:ext>
          </c:extLst>
        </c:ser>
        <c:ser>
          <c:idx val="1"/>
          <c:order val="2"/>
          <c:tx>
            <c:v>Poslovni najem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'Scenariji - Različna življ doba'!$C$4:$M$4</c:f>
              <c:strCache>
                <c:ptCount val="11"/>
                <c:pt idx="0">
                  <c:v>ni podatka</c:v>
                </c:pt>
                <c:pt idx="1">
                  <c:v>ni podatka</c:v>
                </c:pt>
                <c:pt idx="2">
                  <c:v>ni podatka</c:v>
                </c:pt>
                <c:pt idx="3">
                  <c:v>ni podatka</c:v>
                </c:pt>
                <c:pt idx="4">
                  <c:v>ni podatka</c:v>
                </c:pt>
                <c:pt idx="5">
                  <c:v>ni podatka</c:v>
                </c:pt>
                <c:pt idx="6">
                  <c:v>ni podatka</c:v>
                </c:pt>
                <c:pt idx="7">
                  <c:v>ni podatka</c:v>
                </c:pt>
                <c:pt idx="8">
                  <c:v>ni podatka</c:v>
                </c:pt>
                <c:pt idx="9">
                  <c:v>ni podatka</c:v>
                </c:pt>
                <c:pt idx="10">
                  <c:v>ni podatka</c:v>
                </c:pt>
              </c:strCache>
            </c:strRef>
          </c:xVal>
          <c:yVal>
            <c:numRef>
              <c:f>'Scenariji - Različna življ doba'!$C$23:$M$23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DA-489F-A1F3-0497E699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Življenjska doba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Razlika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852722389800781"/>
          <c:y val="0.35939671972333931"/>
          <c:w val="0.15751847354072449"/>
          <c:h val="0.22755849188379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 b="1" i="0" baseline="0">
                <a:solidFill>
                  <a:sysClr val="windowText" lastClr="000000"/>
                </a:solidFill>
                <a:effectLst/>
                <a:latin typeface="+mn-lt"/>
              </a:rPr>
              <a:t>Življenjske dobe, ki jih je izbral uporabnik (pri konstantnem izbranem številu letnih storitev)</a:t>
            </a:r>
            <a:endParaRPr lang="sl-SI" sz="1050">
              <a:solidFill>
                <a:sysClr val="windowText" lastClr="000000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3676803067059831"/>
          <c:y val="0.13389939659604405"/>
          <c:w val="0.67278747397954553"/>
          <c:h val="0.68625727196471575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Različna življ doba'!$C$50:$M$50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Različna življ doba'!$C$58:$M$58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74-4CCD-9C97-2657E93C1B7E}"/>
            </c:ext>
          </c:extLst>
        </c:ser>
        <c:ser>
          <c:idx val="2"/>
          <c:order val="1"/>
          <c:tx>
            <c:v>Meja (nakup)</c:v>
          </c:tx>
          <c:spPr>
            <a:ln w="1905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8.9990817263544534E-2"/>
                  <c:y val="0.161512027491408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74-4CCD-9C97-2657E93C1B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'Scenariji - Različna življ doba'!$N$50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'Scenariji - Različna življ doba'!$N$58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74-4CCD-9C97-2657E93C1B7E}"/>
            </c:ext>
          </c:extLst>
        </c:ser>
        <c:ser>
          <c:idx val="1"/>
          <c:order val="2"/>
          <c:tx>
            <c:v>Poslovni najem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'Scenariji - Različna življ doba'!$C$50:$M$50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Različna življ doba'!$C$70:$M$70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74-4CCD-9C97-2657E93C1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Življenjska doba</a:t>
                </a:r>
              </a:p>
            </c:rich>
          </c:tx>
          <c:layout>
            <c:manualLayout>
              <c:xMode val="edge"/>
              <c:yMode val="edge"/>
              <c:x val="0.40347266509041735"/>
              <c:y val="0.89232161701436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  <c:majorUnit val="1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Razlika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852722389800781"/>
          <c:y val="0.35939671972333931"/>
          <c:w val="0.15751847354072449"/>
          <c:h val="0.22755849188379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sl-SI" sz="1200" b="1" i="0" u="none" strike="noStrike" baseline="0">
                <a:effectLst/>
              </a:rPr>
              <a:t>Število storitev do +/- 25% od izbranega števila letnih storitev (pri konstantni izbrani življenjski dobi)</a:t>
            </a:r>
          </a:p>
        </c:rich>
      </c:tx>
      <c:layout>
        <c:manualLayout>
          <c:xMode val="edge"/>
          <c:yMode val="edge"/>
          <c:x val="6.5634295713035862E-2"/>
          <c:y val="1.72176308539944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67591888851731"/>
          <c:y val="0.15474528752087807"/>
          <c:w val="0.69098339085567062"/>
          <c:h val="0.66541154204897945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E535FD6-4DA5-4F32-9021-75EFDF230784}" type="CELLRANGE">
                      <a:rPr lang="en-US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415-4934-976F-6AB59136A38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E871F7-484D-4548-9D59-32E8E0BD6C92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415-4934-976F-6AB59136A38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071D7CA-6C55-4B80-8C47-EC9D82DBECA8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415-4934-976F-6AB59136A38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109EC53-E049-4EF9-A5C4-9DF9CFF514BC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415-4934-976F-6AB59136A38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198F01E-BE3F-46B9-AE86-74C341817556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415-4934-976F-6AB59136A38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B4A8C92-6164-4194-AE5E-B6427D843F55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415-4934-976F-6AB59136A38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B990BFF-175D-4C39-98F3-C41C55AF9287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415-4934-976F-6AB59136A38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98288C-9BFA-4505-A59B-E2387999EC39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415-4934-976F-6AB59136A38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E5855A4-6423-4F91-A267-D56616FE358D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415-4934-976F-6AB59136A38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604EB19-D27A-442A-9BA8-E98169BB1C66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415-4934-976F-6AB59136A38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EE0CB66-C9CF-4251-8648-810FB092AC54}" type="CELLRANGE">
                      <a:rPr lang="sl-SI"/>
                      <a:pPr/>
                      <a:t>[CELLRANGE]</a:t>
                    </a:fld>
                    <a:endParaRPr lang="sl-SI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415-4934-976F-6AB59136A3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sl-S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'Scenariji - Različno št. stor.'!$C$4:$M$4</c:f>
            </c:numRef>
          </c:xVal>
          <c:yVal>
            <c:numRef>
              <c:f>'Scenariji - Različno št. stor.'!$C$12:$M$12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'Scenariji - Različno št. stor.'!$C$3:$M$3</c15:f>
                <c15:dlblRangeCache>
                  <c:ptCount val="11"/>
                  <c:pt idx="0">
                    <c:v>-25%</c:v>
                  </c:pt>
                  <c:pt idx="1">
                    <c:v>-20%</c:v>
                  </c:pt>
                  <c:pt idx="2">
                    <c:v>-15%</c:v>
                  </c:pt>
                  <c:pt idx="3">
                    <c:v>-10%</c:v>
                  </c:pt>
                  <c:pt idx="4">
                    <c:v>-5%</c:v>
                  </c:pt>
                  <c:pt idx="5">
                    <c:v>+0%</c:v>
                  </c:pt>
                  <c:pt idx="6">
                    <c:v>+5%</c:v>
                  </c:pt>
                  <c:pt idx="7">
                    <c:v>+10%</c:v>
                  </c:pt>
                  <c:pt idx="8">
                    <c:v>+15%</c:v>
                  </c:pt>
                  <c:pt idx="9">
                    <c:v>+20%</c:v>
                  </c:pt>
                  <c:pt idx="10">
                    <c:v>+25%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F88-4364-96D0-056647B2F177}"/>
            </c:ext>
          </c:extLst>
        </c:ser>
        <c:ser>
          <c:idx val="2"/>
          <c:order val="1"/>
          <c:tx>
            <c:v>Meja (Nakup)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25533544732241E-2"/>
                  <c:y val="-0.170354471820054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C3-44A3-82D4-1B1A4E654B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l-S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'Scenariji - Različno št. stor.'!$N$4</c:f>
              <c:strCache>
                <c:ptCount val="1"/>
                <c:pt idx="0">
                  <c:v>ni podatka</c:v>
                </c:pt>
              </c:strCache>
            </c:strRef>
          </c:xVal>
          <c:yVal>
            <c:numRef>
              <c:f>'Scenariji - Različno št. stor.'!$N$12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88-4364-96D0-056647B2F177}"/>
            </c:ext>
          </c:extLst>
        </c:ser>
        <c:ser>
          <c:idx val="1"/>
          <c:order val="2"/>
          <c:tx>
            <c:v>Poslovni najem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'Scenariji - Različno št. stor.'!$C$15:$M$15</c:f>
            </c:numRef>
          </c:xVal>
          <c:yVal>
            <c:numRef>
              <c:f>'Scenariji - Različno št. stor.'!$C$23:$M$23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88-4364-96D0-056647B2F177}"/>
            </c:ext>
          </c:extLst>
        </c:ser>
        <c:ser>
          <c:idx val="3"/>
          <c:order val="3"/>
          <c:tx>
            <c:v>Meja (Poslovni najem)</c:v>
          </c:tx>
          <c:spPr>
            <a:ln>
              <a:noFill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x"/>
            <c:size val="6"/>
            <c:spPr>
              <a:noFill/>
              <a:ln w="19050">
                <a:solidFill>
                  <a:schemeClr val="accent6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dLbl>
              <c:idx val="0"/>
              <c:layout>
                <c:manualLayout>
                  <c:x val="6.4211520302171796E-2"/>
                  <c:y val="2.75482093663911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C3-44A3-82D4-1B1A4E654B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'Scenariji - Različno št. stor.'!$N$15</c:f>
              <c:strCache>
                <c:ptCount val="1"/>
                <c:pt idx="0">
                  <c:v>ni podatka</c:v>
                </c:pt>
              </c:strCache>
            </c:strRef>
          </c:xVal>
          <c:yVal>
            <c:numRef>
              <c:f>'Scenariji - Različno št. stor.'!$N$23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88-4364-96D0-056647B2F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  <c:min val="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Število storitev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Razlika</a:t>
                </a:r>
              </a:p>
            </c:rich>
          </c:tx>
          <c:layout>
            <c:manualLayout>
              <c:xMode val="edge"/>
              <c:yMode val="edge"/>
              <c:x val="1.8307701884754755E-2"/>
              <c:y val="0.36288624068690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12653582394878"/>
          <c:y val="0.37337228007789358"/>
          <c:w val="0.16199268964074315"/>
          <c:h val="0.31898074171046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 sz="1200" b="1" i="0" baseline="0">
                <a:effectLst/>
              </a:rPr>
              <a:t>Število storitev, ki jih je izbral uporabnik (pri konstantni izbrani življenjski dobi)</a:t>
            </a:r>
            <a:endParaRPr lang="sl-SI" sz="1200">
              <a:effectLst/>
            </a:endParaRPr>
          </a:p>
        </c:rich>
      </c:tx>
      <c:layout>
        <c:manualLayout>
          <c:xMode val="edge"/>
          <c:yMode val="edge"/>
          <c:x val="0.13422487511641693"/>
          <c:y val="3.44352617079889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67591888851731"/>
          <c:y val="0.123753551983688"/>
          <c:w val="0.68748380390675101"/>
          <c:h val="0.69640327758616949"/>
        </c:manualLayout>
      </c:layout>
      <c:scatterChart>
        <c:scatterStyle val="lineMarker"/>
        <c:varyColors val="0"/>
        <c:ser>
          <c:idx val="0"/>
          <c:order val="0"/>
          <c:tx>
            <c:v>Nakup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'Scenariji - Različno št. stor.'!$C$50:$M$50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Različno št. stor.'!$C$58:$M$58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B4-4581-817C-94BBC117E10B}"/>
            </c:ext>
          </c:extLst>
        </c:ser>
        <c:ser>
          <c:idx val="2"/>
          <c:order val="1"/>
          <c:tx>
            <c:v>Meja (Nakup)</c:v>
          </c:tx>
          <c:marker>
            <c:symbol val="x"/>
            <c:size val="6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404040404040421E-2"/>
                  <c:y val="-0.2926997245179063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4-4581-817C-94BBC117E1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l-S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'Scenariji - Različno št. stor.'!$N$50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'Scenariji - Različno št. stor.'!$N$58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B4-4581-817C-94BBC117E10B}"/>
            </c:ext>
          </c:extLst>
        </c:ser>
        <c:ser>
          <c:idx val="1"/>
          <c:order val="2"/>
          <c:tx>
            <c:v>Poslovni najem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'Scenariji - Različno št. stor.'!$C$62:$M$62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'Scenariji - Različno št. stor.'!$C$70:$M$70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B4-4581-817C-94BBC117E10B}"/>
            </c:ext>
          </c:extLst>
        </c:ser>
        <c:ser>
          <c:idx val="3"/>
          <c:order val="3"/>
          <c:tx>
            <c:v>Meja (Poslovni najem)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2121212121212122"/>
                  <c:y val="-2.06611570247935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B4-4581-817C-94BBC117E1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l-S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'Scenariji - Različno št. stor.'!$N$62</c:f>
              <c:numCache>
                <c:formatCode>0</c:formatCode>
                <c:ptCount val="1"/>
                <c:pt idx="0">
                  <c:v>0</c:v>
                </c:pt>
              </c:numCache>
            </c:numRef>
          </c:xVal>
          <c:yVal>
            <c:numRef>
              <c:f>'Scenariji - Različno št. stor.'!$N$70</c:f>
              <c:numCache>
                <c:formatCode>#,##0.00\ "€"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B4-4581-817C-94BBC117E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72344"/>
        <c:axId val="538773656"/>
      </c:scatterChart>
      <c:valAx>
        <c:axId val="538772344"/>
        <c:scaling>
          <c:orientation val="minMax"/>
          <c:min val="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Število storitev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3656"/>
        <c:crosses val="autoZero"/>
        <c:crossBetween val="midCat"/>
      </c:valAx>
      <c:valAx>
        <c:axId val="5387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Razlika</a:t>
                </a:r>
              </a:p>
            </c:rich>
          </c:tx>
          <c:layout>
            <c:manualLayout>
              <c:xMode val="edge"/>
              <c:yMode val="edge"/>
              <c:x val="1.8307701884754755E-2"/>
              <c:y val="0.36288624068690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8772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12653582394878"/>
          <c:y val="0.37337228007789358"/>
          <c:w val="0.16199268964074315"/>
          <c:h val="0.31898074171046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47</xdr:row>
      <xdr:rowOff>28575</xdr:rowOff>
    </xdr:from>
    <xdr:to>
      <xdr:col>5</xdr:col>
      <xdr:colOff>152400</xdr:colOff>
      <xdr:row>59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BCCBF7-3017-4F42-8451-FD30BA127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619126</xdr:colOff>
      <xdr:row>47</xdr:row>
      <xdr:rowOff>28575</xdr:rowOff>
    </xdr:from>
    <xdr:to>
      <xdr:col>12</xdr:col>
      <xdr:colOff>0</xdr:colOff>
      <xdr:row>59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8F0BAC-D1FD-416B-ADCC-AABA84A768FA}"/>
            </a:ext>
            <a:ext uri="{147F2762-F138-4A5C-976F-8EAC2B608ADB}">
              <a16:predDERef xmlns:a16="http://schemas.microsoft.com/office/drawing/2014/main" pred="{41BCCBF7-3017-4F42-8451-FD30BA127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65</xdr:row>
      <xdr:rowOff>19050</xdr:rowOff>
    </xdr:from>
    <xdr:to>
      <xdr:col>5</xdr:col>
      <xdr:colOff>104775</xdr:colOff>
      <xdr:row>77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C9485BA-A324-4F09-958F-8DEA5D84A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65</xdr:row>
      <xdr:rowOff>19050</xdr:rowOff>
    </xdr:from>
    <xdr:to>
      <xdr:col>12</xdr:col>
      <xdr:colOff>0</xdr:colOff>
      <xdr:row>77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57BA525-403E-4B97-A975-F47EBDC02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24</xdr:row>
      <xdr:rowOff>9525</xdr:rowOff>
    </xdr:from>
    <xdr:to>
      <xdr:col>8</xdr:col>
      <xdr:colOff>276225</xdr:colOff>
      <xdr:row>43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E99757-6CEB-4ED1-8B65-F74FE94E2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71</xdr:row>
      <xdr:rowOff>0</xdr:rowOff>
    </xdr:from>
    <xdr:to>
      <xdr:col>8</xdr:col>
      <xdr:colOff>190500</xdr:colOff>
      <xdr:row>90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3B7B97-58CE-487D-8C55-B97D62CD2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240030</xdr:colOff>
      <xdr:row>24</xdr:row>
      <xdr:rowOff>91440</xdr:rowOff>
    </xdr:from>
    <xdr:to>
      <xdr:col>8</xdr:col>
      <xdr:colOff>278130</xdr:colOff>
      <xdr:row>43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3E5464-7202-4791-BE07-362A74665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71</xdr:row>
      <xdr:rowOff>76200</xdr:rowOff>
    </xdr:from>
    <xdr:to>
      <xdr:col>8</xdr:col>
      <xdr:colOff>247650</xdr:colOff>
      <xdr:row>90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74286F-2E7F-41CE-A13C-1741265CD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G56"/>
  <sheetViews>
    <sheetView topLeftCell="A49" zoomScale="90" zoomScaleNormal="90" workbookViewId="0">
      <selection activeCell="B80" sqref="B80:B81"/>
    </sheetView>
  </sheetViews>
  <sheetFormatPr defaultRowHeight="14.4" x14ac:dyDescent="0.3"/>
  <cols>
    <col min="2" max="2" width="40.109375" bestFit="1" customWidth="1"/>
    <col min="3" max="3" width="15.109375" bestFit="1" customWidth="1"/>
    <col min="7" max="7" width="40.109375" bestFit="1" customWidth="1"/>
    <col min="8" max="8" width="12.5546875" bestFit="1" customWidth="1"/>
    <col min="11" max="11" width="12.5546875" bestFit="1" customWidth="1"/>
    <col min="12" max="12" width="11.44140625" bestFit="1" customWidth="1"/>
    <col min="13" max="18" width="12" bestFit="1" customWidth="1"/>
    <col min="19" max="19" width="11" bestFit="1" customWidth="1"/>
    <col min="20" max="21" width="12" bestFit="1" customWidth="1"/>
    <col min="23" max="24" width="12.5546875" bestFit="1" customWidth="1"/>
    <col min="25" max="30" width="13.33203125" bestFit="1" customWidth="1"/>
    <col min="31" max="32" width="12" bestFit="1" customWidth="1"/>
  </cols>
  <sheetData>
    <row r="2" spans="2:33" x14ac:dyDescent="0.3">
      <c r="B2" s="197" t="s">
        <v>0</v>
      </c>
      <c r="C2" s="4"/>
      <c r="D2" s="4"/>
      <c r="E2" s="4"/>
      <c r="F2" s="4"/>
      <c r="G2" s="5" t="s">
        <v>1</v>
      </c>
    </row>
    <row r="3" spans="2:33" x14ac:dyDescent="0.3">
      <c r="L3" s="6"/>
      <c r="M3" s="241"/>
    </row>
    <row r="4" spans="2:33" x14ac:dyDescent="0.3">
      <c r="B4" s="249" t="s">
        <v>2</v>
      </c>
      <c r="C4" s="250"/>
      <c r="D4" s="251"/>
      <c r="E4" s="27"/>
      <c r="F4" s="27"/>
      <c r="G4" s="252" t="s">
        <v>3</v>
      </c>
      <c r="H4" s="253"/>
      <c r="I4" s="25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33" x14ac:dyDescent="0.3">
      <c r="B5" s="11"/>
      <c r="D5" s="12"/>
      <c r="G5" s="11"/>
      <c r="I5" s="12"/>
    </row>
    <row r="6" spans="2:33" x14ac:dyDescent="0.3">
      <c r="B6" s="13" t="s">
        <v>4</v>
      </c>
      <c r="C6" s="1" t="str">
        <f>IF('Analiza nakupa'!D6=0,"",'Analiza nakupa'!D5/'Analiza nakupa'!D6)</f>
        <v/>
      </c>
      <c r="D6" s="12"/>
      <c r="G6" s="11"/>
      <c r="I6" s="12"/>
    </row>
    <row r="7" spans="2:33" x14ac:dyDescent="0.3">
      <c r="B7" s="13"/>
      <c r="C7" s="1"/>
      <c r="D7" s="12"/>
      <c r="G7" s="13" t="s">
        <v>5</v>
      </c>
      <c r="H7" s="1">
        <f>'Analiza nakupa'!E12</f>
        <v>0</v>
      </c>
      <c r="I7" s="12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3" x14ac:dyDescent="0.3">
      <c r="B8" s="13" t="s">
        <v>6</v>
      </c>
      <c r="C8" s="1">
        <f>'Analiza nakupa'!D14</f>
        <v>0</v>
      </c>
      <c r="D8" s="12"/>
      <c r="G8" s="13" t="s">
        <v>6</v>
      </c>
      <c r="H8" s="1">
        <f>'Analiza nakupa'!E14</f>
        <v>0</v>
      </c>
      <c r="I8" s="12"/>
    </row>
    <row r="9" spans="2:33" ht="15" thickBot="1" x14ac:dyDescent="0.35">
      <c r="B9" s="13" t="s">
        <v>7</v>
      </c>
      <c r="C9" s="1">
        <f>'Analiza nakupa'!D13</f>
        <v>0</v>
      </c>
      <c r="D9" s="12"/>
      <c r="G9" s="13"/>
      <c r="I9" s="12"/>
    </row>
    <row r="10" spans="2:33" x14ac:dyDescent="0.3">
      <c r="B10" s="14" t="s">
        <v>8</v>
      </c>
      <c r="C10" s="15">
        <f>SUM(C6:C9)</f>
        <v>0</v>
      </c>
      <c r="D10" s="16"/>
      <c r="G10" s="14" t="s">
        <v>8</v>
      </c>
      <c r="H10" s="15">
        <f>SUM(H6:H9)</f>
        <v>0</v>
      </c>
      <c r="I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x14ac:dyDescent="0.3">
      <c r="B11" s="6"/>
      <c r="C11" s="1"/>
      <c r="G11" s="6"/>
      <c r="H11" s="1"/>
    </row>
    <row r="13" spans="2:33" x14ac:dyDescent="0.3">
      <c r="B13" s="17" t="s">
        <v>9</v>
      </c>
      <c r="C13" s="18">
        <f>IF(Izračuni!C10=0,0,Izračuni!C10/'Analiza nakupa'!$D$7)</f>
        <v>0</v>
      </c>
      <c r="D13" s="3"/>
      <c r="G13" s="2" t="s">
        <v>9</v>
      </c>
      <c r="H13" s="18">
        <f>IF(Izračuni!H10=0,0,Izračuni!H10/'Analiza nakupa'!$D$7)</f>
        <v>0</v>
      </c>
      <c r="I13" s="3"/>
      <c r="K13" s="1"/>
      <c r="W13" s="1"/>
    </row>
    <row r="16" spans="2:33" x14ac:dyDescent="0.3">
      <c r="B16" s="255" t="s">
        <v>10</v>
      </c>
      <c r="C16" s="256"/>
      <c r="D16" s="257"/>
      <c r="G16" s="255" t="s">
        <v>10</v>
      </c>
      <c r="H16" s="256"/>
      <c r="I16" s="257"/>
    </row>
    <row r="17" spans="2:33" x14ac:dyDescent="0.3">
      <c r="B17" s="11"/>
      <c r="D17" s="12"/>
      <c r="G17" s="11"/>
      <c r="I17" s="12"/>
    </row>
    <row r="18" spans="2:33" x14ac:dyDescent="0.3">
      <c r="B18" s="13" t="s">
        <v>11</v>
      </c>
      <c r="C18" s="1">
        <f>'Analiza nakupa'!$D$8</f>
        <v>0</v>
      </c>
      <c r="D18" s="12"/>
      <c r="G18" s="13" t="s">
        <v>11</v>
      </c>
      <c r="H18" s="1">
        <f>'Analiza nakupa'!$D$8</f>
        <v>0</v>
      </c>
      <c r="I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15" thickBot="1" x14ac:dyDescent="0.35">
      <c r="B19" s="13" t="s">
        <v>9</v>
      </c>
      <c r="C19" s="1">
        <f>C13</f>
        <v>0</v>
      </c>
      <c r="D19" s="12"/>
      <c r="G19" s="31" t="s">
        <v>9</v>
      </c>
      <c r="H19" s="1">
        <f>H13</f>
        <v>0</v>
      </c>
      <c r="I19" s="12"/>
      <c r="K19" s="1"/>
      <c r="W19" s="1"/>
    </row>
    <row r="20" spans="2:33" x14ac:dyDescent="0.3">
      <c r="B20" s="19" t="s">
        <v>12</v>
      </c>
      <c r="C20" s="28">
        <f>C18-C19</f>
        <v>0</v>
      </c>
      <c r="D20" s="20"/>
      <c r="G20" s="19" t="s">
        <v>12</v>
      </c>
      <c r="H20" s="10">
        <f>H18-H19</f>
        <v>0</v>
      </c>
      <c r="I20" s="20"/>
      <c r="J20" s="8"/>
      <c r="K20" s="24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"/>
    </row>
    <row r="21" spans="2:33" x14ac:dyDescent="0.3">
      <c r="B21" s="11"/>
      <c r="C21" s="8"/>
      <c r="D21" s="20"/>
      <c r="G21" s="11"/>
      <c r="H21" s="8"/>
      <c r="I21" s="2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33" ht="14.4" customHeight="1" x14ac:dyDescent="0.3">
      <c r="B22" s="258" t="str">
        <f>IF(C20&gt;0,"Prilagoditve niso potrebne, saj so prihodki od amortizacije višji od stroškov.","Stroški so višji od prihodkov. Porebno je prilagoditi popravek vrednosti na preiskavo z amortizacijo priznano v prihodkih!")</f>
        <v>Stroški so višji od prihodkov. Porebno je prilagoditi popravek vrednosti na preiskavo z amortizacijo priznano v prihodkih!</v>
      </c>
      <c r="C22" s="259"/>
      <c r="D22" s="260"/>
      <c r="G22" s="258" t="str">
        <f>IF(H20&gt;0,"Prilagoditve niso potrebne, saj so prihodki od amortizacije višji od stroškov.","Stroški so višji od prihodkov. Porebno je prilagoditi popravek vrednosti na preiskavo z amortizacijo priznano v prihodkih!")</f>
        <v>Stroški so višji od prihodkov. Porebno je prilagoditi popravek vrednosti na preiskavo z amortizacijo priznano v prihodkih!</v>
      </c>
      <c r="H22" s="259"/>
      <c r="I22" s="260"/>
    </row>
    <row r="23" spans="2:33" x14ac:dyDescent="0.3">
      <c r="B23" s="261"/>
      <c r="C23" s="262"/>
      <c r="D23" s="263"/>
      <c r="G23" s="261"/>
      <c r="H23" s="262"/>
      <c r="I23" s="263"/>
    </row>
    <row r="24" spans="2:33" x14ac:dyDescent="0.3">
      <c r="B24" s="8"/>
      <c r="C24" s="8"/>
      <c r="D24" s="8"/>
    </row>
    <row r="26" spans="2:33" x14ac:dyDescent="0.3">
      <c r="B26" s="255" t="s">
        <v>13</v>
      </c>
      <c r="C26" s="256"/>
      <c r="D26" s="257"/>
      <c r="G26" s="255" t="s">
        <v>13</v>
      </c>
      <c r="H26" s="256"/>
      <c r="I26" s="257"/>
    </row>
    <row r="27" spans="2:33" x14ac:dyDescent="0.3">
      <c r="B27" s="11"/>
      <c r="D27" s="12"/>
      <c r="G27" s="11"/>
      <c r="I27" s="12"/>
    </row>
    <row r="28" spans="2:33" x14ac:dyDescent="0.3">
      <c r="B28" s="13" t="s">
        <v>14</v>
      </c>
      <c r="C28" s="21" t="e">
        <f>(C10)/('Analiza nakupa'!$D$7*Izračuni!C18)-100%</f>
        <v>#DIV/0!</v>
      </c>
      <c r="D28" s="12"/>
      <c r="G28" s="13" t="s">
        <v>14</v>
      </c>
      <c r="H28" s="21" t="e">
        <f>(H7+H8)/('Analiza nakupa'!$D$7*Izračuni!H18)-100%</f>
        <v>#DIV/0!</v>
      </c>
      <c r="I28" s="12"/>
    </row>
    <row r="29" spans="2:33" x14ac:dyDescent="0.3">
      <c r="B29" s="13"/>
      <c r="C29" s="21"/>
      <c r="D29" s="12"/>
      <c r="G29" s="13"/>
      <c r="H29" s="21"/>
      <c r="I29" s="12"/>
    </row>
    <row r="30" spans="2:33" x14ac:dyDescent="0.3">
      <c r="B30" s="13" t="s">
        <v>15</v>
      </c>
      <c r="C30" s="30" t="e">
        <f>'Analiza nakupa'!$D$7*(100%+Izračuni!C28)</f>
        <v>#DIV/0!</v>
      </c>
      <c r="D30" s="12"/>
      <c r="G30" s="13" t="s">
        <v>15</v>
      </c>
      <c r="H30" s="30" t="e">
        <f>'Analiza nakupa'!$D$7*(100%+Izračuni!H28)</f>
        <v>#DIV/0!</v>
      </c>
      <c r="I30" s="12"/>
    </row>
    <row r="31" spans="2:33" x14ac:dyDescent="0.3">
      <c r="B31" s="13"/>
      <c r="D31" s="12"/>
      <c r="G31" s="11"/>
      <c r="I31" s="12"/>
    </row>
    <row r="32" spans="2:33" x14ac:dyDescent="0.3">
      <c r="B32" s="13" t="s">
        <v>16</v>
      </c>
      <c r="C32" s="1" t="e">
        <f>C10/C30</f>
        <v>#DIV/0!</v>
      </c>
      <c r="D32" s="12"/>
      <c r="G32" s="13" t="s">
        <v>16</v>
      </c>
      <c r="H32" s="1" t="e">
        <f>H10/H30</f>
        <v>#DIV/0!</v>
      </c>
      <c r="I32" s="12"/>
    </row>
    <row r="33" spans="2:9" ht="15.6" customHeight="1" x14ac:dyDescent="0.3">
      <c r="B33" s="22" t="s">
        <v>11</v>
      </c>
      <c r="C33" s="23">
        <f>'Analiza nakupa'!$D$8</f>
        <v>0</v>
      </c>
      <c r="D33" s="16"/>
      <c r="G33" s="22" t="s">
        <v>11</v>
      </c>
      <c r="H33" s="23">
        <f>'Analiza nakupa'!$D$8</f>
        <v>0</v>
      </c>
      <c r="I33" s="16"/>
    </row>
    <row r="34" spans="2:9" ht="15.6" customHeight="1" x14ac:dyDescent="0.3">
      <c r="B34" s="6"/>
    </row>
    <row r="35" spans="2:9" x14ac:dyDescent="0.3">
      <c r="B35" s="6"/>
    </row>
    <row r="36" spans="2:9" x14ac:dyDescent="0.3">
      <c r="B36" s="24" t="s">
        <v>17</v>
      </c>
      <c r="C36" s="25"/>
      <c r="D36" s="26"/>
    </row>
    <row r="37" spans="2:9" x14ac:dyDescent="0.3">
      <c r="B37" s="11"/>
      <c r="D37" s="12"/>
    </row>
    <row r="38" spans="2:9" x14ac:dyDescent="0.3">
      <c r="B38" s="13" t="s">
        <v>14</v>
      </c>
      <c r="C38" s="21" t="e">
        <f>(('Analiza nakupa'!D5)/('Analiza nakupa'!D8*'Analiza nakupa'!D7-'Analiza nakupa'!D14-'Analiza nakupa'!D13)-'Analiza nakupa'!D6*100%)/('Analiza nakupa'!D6)</f>
        <v>#DIV/0!</v>
      </c>
      <c r="D38" s="12"/>
    </row>
    <row r="39" spans="2:9" x14ac:dyDescent="0.3">
      <c r="B39" s="11"/>
      <c r="D39" s="12"/>
    </row>
    <row r="40" spans="2:9" x14ac:dyDescent="0.3">
      <c r="B40" s="13" t="s">
        <v>18</v>
      </c>
      <c r="C40" s="29" t="e">
        <f>'Analiza nakupa'!D6*(100%+Izračuni!C38)</f>
        <v>#DIV/0!</v>
      </c>
      <c r="D40" s="12"/>
    </row>
    <row r="41" spans="2:9" x14ac:dyDescent="0.3">
      <c r="B41" s="13"/>
      <c r="D41" s="12"/>
    </row>
    <row r="42" spans="2:9" x14ac:dyDescent="0.3">
      <c r="B42" s="13" t="s">
        <v>19</v>
      </c>
      <c r="C42" s="1" t="e">
        <f>'Analiza nakupa'!D5/Izračuni!C40</f>
        <v>#DIV/0!</v>
      </c>
      <c r="D42" s="12"/>
    </row>
    <row r="43" spans="2:9" x14ac:dyDescent="0.3">
      <c r="B43" s="13" t="s">
        <v>20</v>
      </c>
      <c r="C43" s="1">
        <f>'Analiza nakupa'!D14</f>
        <v>0</v>
      </c>
      <c r="D43" s="12"/>
    </row>
    <row r="44" spans="2:9" ht="15" thickBot="1" x14ac:dyDescent="0.35">
      <c r="B44" s="13" t="s">
        <v>21</v>
      </c>
      <c r="C44" s="1">
        <f>'Analiza nakupa'!D13</f>
        <v>0</v>
      </c>
      <c r="D44" s="12"/>
    </row>
    <row r="45" spans="2:9" x14ac:dyDescent="0.3">
      <c r="B45" s="19" t="s">
        <v>22</v>
      </c>
      <c r="C45" s="9" t="e">
        <f>SUM(C42:C44)</f>
        <v>#DIV/0!</v>
      </c>
      <c r="D45" s="12"/>
    </row>
    <row r="46" spans="2:9" x14ac:dyDescent="0.3">
      <c r="B46" s="13"/>
      <c r="C46" s="1"/>
      <c r="D46" s="12"/>
    </row>
    <row r="47" spans="2:9" x14ac:dyDescent="0.3">
      <c r="B47" s="13" t="s">
        <v>16</v>
      </c>
      <c r="C47" s="1" t="e">
        <f>C45/'Analiza nakupa'!D7</f>
        <v>#DIV/0!</v>
      </c>
      <c r="D47" s="12"/>
    </row>
    <row r="48" spans="2:9" x14ac:dyDescent="0.3">
      <c r="B48" s="22" t="s">
        <v>11</v>
      </c>
      <c r="C48" s="23">
        <f>'Analiza nakupa'!D8</f>
        <v>0</v>
      </c>
      <c r="D48" s="16"/>
    </row>
    <row r="52" spans="2:3" x14ac:dyDescent="0.3">
      <c r="B52" t="s">
        <v>23</v>
      </c>
      <c r="C52" t="s">
        <v>0</v>
      </c>
    </row>
    <row r="53" spans="2:3" x14ac:dyDescent="0.3">
      <c r="C53" t="s">
        <v>1</v>
      </c>
    </row>
    <row r="55" spans="2:3" x14ac:dyDescent="0.3">
      <c r="B55" t="s">
        <v>99</v>
      </c>
    </row>
    <row r="56" spans="2:3" x14ac:dyDescent="0.3">
      <c r="B56" s="219" t="s">
        <v>98</v>
      </c>
      <c r="C56" s="240" t="e">
        <f>"= "&amp;ROUND(('Analiza nakupa'!D5)/('Analiza nakupa'!E12+'Analiza nakupa'!E14-'Analiza nakupa'!D13-'Analiza nakupa'!D14),5)&amp;" let"</f>
        <v>#DIV/0!</v>
      </c>
    </row>
  </sheetData>
  <mergeCells count="8">
    <mergeCell ref="B4:D4"/>
    <mergeCell ref="G4:I4"/>
    <mergeCell ref="G16:I16"/>
    <mergeCell ref="B26:D26"/>
    <mergeCell ref="G26:I26"/>
    <mergeCell ref="B16:D16"/>
    <mergeCell ref="B22:D23"/>
    <mergeCell ref="G22:I23"/>
  </mergeCells>
  <conditionalFormatting sqref="B22:D23 C20:F21">
    <cfRule type="expression" dxfId="14" priority="7">
      <formula>$C$20&lt;=0</formula>
    </cfRule>
    <cfRule type="expression" dxfId="13" priority="9">
      <formula>$C$20&gt;0</formula>
    </cfRule>
  </conditionalFormatting>
  <conditionalFormatting sqref="G22:I23 H20:V21">
    <cfRule type="expression" dxfId="12" priority="5">
      <formula>$H$20&lt;=0</formula>
    </cfRule>
    <cfRule type="expression" dxfId="11" priority="6">
      <formula>$H$20&gt;0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75"/>
  <sheetViews>
    <sheetView topLeftCell="A46" workbookViewId="0">
      <selection activeCell="D3" sqref="D3"/>
    </sheetView>
  </sheetViews>
  <sheetFormatPr defaultColWidth="9.109375" defaultRowHeight="14.4" x14ac:dyDescent="0.3"/>
  <cols>
    <col min="1" max="1" width="3" style="89" customWidth="1"/>
    <col min="2" max="2" width="8.33203125" style="178" bestFit="1" customWidth="1"/>
    <col min="3" max="3" width="33.6640625" style="178" customWidth="1"/>
    <col min="4" max="4" width="13.109375" bestFit="1" customWidth="1"/>
    <col min="5" max="5" width="14" bestFit="1" customWidth="1"/>
    <col min="6" max="6" width="2.44140625" customWidth="1"/>
    <col min="7" max="7" width="3" customWidth="1"/>
    <col min="8" max="8" width="8.109375" style="179" customWidth="1"/>
    <col min="9" max="9" width="35.44140625" customWidth="1"/>
    <col min="10" max="10" width="11.5546875" bestFit="1" customWidth="1"/>
    <col min="11" max="11" width="15.33203125" customWidth="1"/>
    <col min="12" max="12" width="3.109375" customWidth="1"/>
    <col min="13" max="13" width="2.5546875" customWidth="1"/>
    <col min="14" max="54" width="9.109375" style="89"/>
  </cols>
  <sheetData>
    <row r="1" spans="1:54" s="89" customFormat="1" ht="15" thickBot="1" x14ac:dyDescent="0.35">
      <c r="B1" s="134"/>
      <c r="C1" s="134"/>
      <c r="H1" s="135"/>
    </row>
    <row r="2" spans="1:54" ht="15" thickBot="1" x14ac:dyDescent="0.35">
      <c r="A2" s="127"/>
      <c r="B2" s="165"/>
      <c r="C2" s="136"/>
      <c r="D2" s="91"/>
      <c r="E2" s="91"/>
      <c r="F2" s="91"/>
      <c r="G2" s="91"/>
      <c r="H2" s="137"/>
      <c r="I2" s="91"/>
      <c r="J2" s="91"/>
      <c r="K2" s="91"/>
      <c r="L2" s="91"/>
      <c r="M2" s="92"/>
    </row>
    <row r="3" spans="1:54" ht="15" thickBot="1" x14ac:dyDescent="0.35">
      <c r="A3" s="127"/>
      <c r="B3" s="264" t="s">
        <v>24</v>
      </c>
      <c r="C3" s="265"/>
      <c r="D3" s="199"/>
      <c r="E3" s="199"/>
      <c r="F3" s="199"/>
      <c r="G3" s="199"/>
      <c r="H3" s="290" t="s">
        <v>25</v>
      </c>
      <c r="I3" s="291"/>
      <c r="J3" s="199"/>
      <c r="K3" s="199"/>
      <c r="L3" s="199"/>
      <c r="M3" s="93"/>
    </row>
    <row r="4" spans="1:54" x14ac:dyDescent="0.3">
      <c r="A4" s="127"/>
      <c r="B4" s="168"/>
      <c r="C4" s="200"/>
      <c r="D4" s="199"/>
      <c r="E4" s="199"/>
      <c r="F4" s="199"/>
      <c r="G4" s="199"/>
      <c r="H4" s="199"/>
      <c r="I4" s="199"/>
      <c r="J4" s="199"/>
      <c r="K4" s="199"/>
      <c r="L4" s="199"/>
      <c r="M4" s="93"/>
    </row>
    <row r="5" spans="1:54" x14ac:dyDescent="0.3">
      <c r="A5" s="127"/>
      <c r="B5" s="288" t="s">
        <v>26</v>
      </c>
      <c r="C5" s="292"/>
      <c r="D5" s="36"/>
      <c r="E5" s="3"/>
      <c r="F5" s="199"/>
      <c r="G5" s="199"/>
      <c r="H5" s="201"/>
      <c r="I5" s="199"/>
      <c r="J5" s="138" t="s">
        <v>0</v>
      </c>
      <c r="K5" s="139" t="s">
        <v>1</v>
      </c>
      <c r="L5" s="199"/>
      <c r="M5" s="93"/>
    </row>
    <row r="6" spans="1:54" x14ac:dyDescent="0.3">
      <c r="A6" s="127"/>
      <c r="B6" s="284" t="s">
        <v>27</v>
      </c>
      <c r="C6" s="285"/>
      <c r="D6" s="79"/>
      <c r="E6" s="3" t="s">
        <v>28</v>
      </c>
      <c r="F6" s="199"/>
      <c r="G6" s="199"/>
      <c r="H6" s="286" t="s">
        <v>29</v>
      </c>
      <c r="I6" s="287"/>
      <c r="J6" s="140" t="str">
        <f>Izračuni!C6</f>
        <v/>
      </c>
      <c r="K6" s="141" t="s">
        <v>30</v>
      </c>
      <c r="L6" s="199"/>
      <c r="M6" s="93"/>
    </row>
    <row r="7" spans="1:54" x14ac:dyDescent="0.3">
      <c r="A7" s="127"/>
      <c r="B7" s="284" t="s">
        <v>31</v>
      </c>
      <c r="C7" s="285"/>
      <c r="D7" s="79"/>
      <c r="E7" s="3" t="s">
        <v>46</v>
      </c>
      <c r="F7" s="199"/>
      <c r="G7" s="199"/>
      <c r="H7" s="278" t="s">
        <v>32</v>
      </c>
      <c r="I7" s="279"/>
      <c r="J7" s="140" t="s">
        <v>30</v>
      </c>
      <c r="K7" s="140">
        <f>Izračuni!H7</f>
        <v>0</v>
      </c>
      <c r="L7" s="199"/>
      <c r="M7" s="93"/>
    </row>
    <row r="8" spans="1:54" x14ac:dyDescent="0.3">
      <c r="A8" s="127"/>
      <c r="B8" s="288" t="s">
        <v>11</v>
      </c>
      <c r="C8" s="292"/>
      <c r="D8" s="36"/>
      <c r="E8" s="3" t="s">
        <v>48</v>
      </c>
      <c r="F8" s="199"/>
      <c r="G8" s="199"/>
      <c r="H8" s="278" t="s">
        <v>33</v>
      </c>
      <c r="I8" s="279"/>
      <c r="J8" s="140">
        <f>Izračuni!C8</f>
        <v>0</v>
      </c>
      <c r="K8" s="140">
        <f>Izračuni!H8</f>
        <v>0</v>
      </c>
      <c r="L8" s="199"/>
      <c r="M8" s="93"/>
    </row>
    <row r="9" spans="1:54" x14ac:dyDescent="0.3">
      <c r="A9" s="127"/>
      <c r="B9" s="168"/>
      <c r="C9" s="200"/>
      <c r="D9" s="200"/>
      <c r="E9" s="200"/>
      <c r="F9" s="199"/>
      <c r="G9" s="199"/>
      <c r="H9" s="276" t="s">
        <v>34</v>
      </c>
      <c r="I9" s="277"/>
      <c r="J9" s="140">
        <f>Izračuni!C9</f>
        <v>0</v>
      </c>
      <c r="K9" s="140" t="s">
        <v>30</v>
      </c>
      <c r="L9" s="199"/>
      <c r="M9" s="93"/>
    </row>
    <row r="10" spans="1:54" x14ac:dyDescent="0.3">
      <c r="A10" s="127"/>
      <c r="B10" s="168"/>
      <c r="C10" s="200"/>
      <c r="D10" s="199"/>
      <c r="E10" s="199"/>
      <c r="F10" s="199"/>
      <c r="G10" s="199"/>
      <c r="H10" s="286" t="s">
        <v>35</v>
      </c>
      <c r="I10" s="287"/>
      <c r="J10" s="142">
        <f>SUM(J6:J9)</f>
        <v>0</v>
      </c>
      <c r="K10" s="142">
        <f>SUM(K6:K9)</f>
        <v>0</v>
      </c>
      <c r="L10" s="199"/>
      <c r="M10" s="93"/>
    </row>
    <row r="11" spans="1:54" x14ac:dyDescent="0.3">
      <c r="A11" s="127"/>
      <c r="B11" s="94"/>
      <c r="C11" s="199"/>
      <c r="D11" s="143" t="s">
        <v>0</v>
      </c>
      <c r="E11" s="144" t="s">
        <v>1</v>
      </c>
      <c r="F11" s="199"/>
      <c r="G11" s="199"/>
      <c r="H11" s="282"/>
      <c r="I11" s="283"/>
      <c r="J11" s="12"/>
      <c r="K11" s="12"/>
      <c r="L11" s="199"/>
      <c r="M11" s="93"/>
    </row>
    <row r="12" spans="1:54" s="4" customFormat="1" x14ac:dyDescent="0.3">
      <c r="A12" s="126"/>
      <c r="B12" s="288" t="s">
        <v>36</v>
      </c>
      <c r="C12" s="289"/>
      <c r="D12" s="145" t="s">
        <v>30</v>
      </c>
      <c r="E12" s="54"/>
      <c r="F12" s="202"/>
      <c r="G12" s="202"/>
      <c r="H12" s="278" t="s">
        <v>37</v>
      </c>
      <c r="I12" s="279"/>
      <c r="J12" s="146">
        <f>Izračuni!C18</f>
        <v>0</v>
      </c>
      <c r="K12" s="146">
        <f>Izračuni!H18</f>
        <v>0</v>
      </c>
      <c r="L12" s="202"/>
      <c r="M12" s="122"/>
      <c r="N12" s="121"/>
      <c r="O12" s="121"/>
      <c r="P12" s="243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</row>
    <row r="13" spans="1:54" x14ac:dyDescent="0.3">
      <c r="A13" s="127"/>
      <c r="B13" s="288" t="s">
        <v>38</v>
      </c>
      <c r="C13" s="289"/>
      <c r="D13" s="54"/>
      <c r="E13" s="145" t="s">
        <v>30</v>
      </c>
      <c r="F13" s="199"/>
      <c r="G13" s="199"/>
      <c r="H13" s="280" t="s">
        <v>39</v>
      </c>
      <c r="I13" s="281"/>
      <c r="J13" s="146">
        <f>Izračuni!C13</f>
        <v>0</v>
      </c>
      <c r="K13" s="146">
        <f>Izračuni!H13</f>
        <v>0</v>
      </c>
      <c r="L13" s="199"/>
      <c r="M13" s="93"/>
    </row>
    <row r="14" spans="1:54" x14ac:dyDescent="0.3">
      <c r="A14" s="127"/>
      <c r="B14" s="288" t="s">
        <v>40</v>
      </c>
      <c r="C14" s="289"/>
      <c r="D14" s="54"/>
      <c r="E14" s="54"/>
      <c r="F14" s="199"/>
      <c r="G14" s="199"/>
      <c r="H14" s="297" t="s">
        <v>41</v>
      </c>
      <c r="I14" s="298"/>
      <c r="J14" s="147">
        <f>Izračuni!C20</f>
        <v>0</v>
      </c>
      <c r="K14" s="147">
        <f>Izračuni!H20</f>
        <v>0</v>
      </c>
      <c r="L14" s="199"/>
      <c r="M14" s="93"/>
    </row>
    <row r="15" spans="1:54" ht="15" thickBot="1" x14ac:dyDescent="0.35">
      <c r="A15" s="127"/>
      <c r="B15" s="103"/>
      <c r="C15" s="104"/>
      <c r="D15" s="104"/>
      <c r="E15" s="104"/>
      <c r="F15" s="104"/>
      <c r="G15" s="104"/>
      <c r="H15" s="148"/>
      <c r="I15" s="104"/>
      <c r="J15" s="104"/>
      <c r="K15" s="104"/>
      <c r="L15" s="104"/>
      <c r="M15" s="105"/>
    </row>
    <row r="16" spans="1:54" s="89" customFormat="1" ht="15" thickBot="1" x14ac:dyDescent="0.35">
      <c r="B16" s="149"/>
      <c r="C16" s="149"/>
      <c r="D16" s="150"/>
      <c r="H16" s="135"/>
    </row>
    <row r="17" spans="1:13" ht="15" thickBot="1" x14ac:dyDescent="0.35">
      <c r="A17" s="127"/>
      <c r="B17" s="203"/>
      <c r="C17" s="151"/>
      <c r="D17" s="152"/>
      <c r="E17" s="91"/>
      <c r="F17" s="91"/>
      <c r="G17" s="91"/>
      <c r="H17" s="137"/>
      <c r="I17" s="91"/>
      <c r="J17" s="91"/>
      <c r="K17" s="91"/>
      <c r="L17" s="91"/>
      <c r="M17" s="92"/>
    </row>
    <row r="18" spans="1:13" ht="15" thickBot="1" x14ac:dyDescent="0.35">
      <c r="A18" s="127"/>
      <c r="B18" s="264" t="s">
        <v>42</v>
      </c>
      <c r="C18" s="265"/>
      <c r="D18" s="204"/>
      <c r="E18" s="199"/>
      <c r="F18" s="199"/>
      <c r="G18" s="199"/>
      <c r="H18" s="201"/>
      <c r="I18" s="199"/>
      <c r="J18" s="199"/>
      <c r="K18" s="199"/>
      <c r="L18" s="199"/>
      <c r="M18" s="93"/>
    </row>
    <row r="19" spans="1:13" x14ac:dyDescent="0.3">
      <c r="A19" s="127"/>
      <c r="B19" s="205"/>
      <c r="C19" s="206"/>
      <c r="D19" s="204"/>
      <c r="E19" s="199"/>
      <c r="F19" s="199"/>
      <c r="G19" s="199"/>
      <c r="H19" s="201"/>
      <c r="I19" s="199"/>
      <c r="J19" s="199"/>
      <c r="K19" s="199"/>
      <c r="L19" s="199"/>
      <c r="M19" s="93"/>
    </row>
    <row r="20" spans="1:13" x14ac:dyDescent="0.3">
      <c r="B20" s="314" t="s">
        <v>43</v>
      </c>
      <c r="C20" s="315"/>
      <c r="D20" s="204"/>
      <c r="E20" s="199"/>
      <c r="F20" s="199"/>
      <c r="G20" s="199"/>
      <c r="H20" s="316" t="s">
        <v>44</v>
      </c>
      <c r="I20" s="317"/>
      <c r="J20" s="199"/>
      <c r="K20" s="199"/>
      <c r="L20" s="199"/>
      <c r="M20" s="93"/>
    </row>
    <row r="21" spans="1:13" x14ac:dyDescent="0.3">
      <c r="A21" s="127"/>
      <c r="B21" s="205"/>
      <c r="C21" s="206"/>
      <c r="D21" s="204"/>
      <c r="E21" s="199"/>
      <c r="F21" s="199"/>
      <c r="G21" s="199"/>
      <c r="H21" s="201"/>
      <c r="I21" s="199"/>
      <c r="J21" s="199"/>
      <c r="K21" s="199"/>
      <c r="L21" s="199"/>
      <c r="M21" s="93"/>
    </row>
    <row r="22" spans="1:13" x14ac:dyDescent="0.3">
      <c r="A22" s="127"/>
      <c r="B22" s="302" t="str">
        <f>IF(J14&gt;=0,"Amortizacija priznana v prihodkih /storitev pri nakupu je višja od stroškov.","Možnosti za izenačitev stroškov na storitev z am. priznano v prihodkih:")</f>
        <v>Amortizacija priznana v prihodkih /storitev pri nakupu je višja od stroškov.</v>
      </c>
      <c r="C22" s="303"/>
      <c r="D22" s="303"/>
      <c r="E22" s="304"/>
      <c r="F22" s="207"/>
      <c r="G22" s="199"/>
      <c r="H22" s="308" t="str">
        <f>IF(K14&gt;=0,"Amortizacija priznana v prihodkih / storitev pri posl. najemu je višja od stroškov.       ","Možnosti za izenačitev stroškov na storitev z am. priznano v prihodkih:")</f>
        <v xml:space="preserve">Amortizacija priznana v prihodkih / storitev pri posl. najemu je višja od stroškov.       </v>
      </c>
      <c r="I22" s="309"/>
      <c r="J22" s="309"/>
      <c r="K22" s="310"/>
      <c r="L22" s="208"/>
      <c r="M22" s="93"/>
    </row>
    <row r="23" spans="1:13" x14ac:dyDescent="0.3">
      <c r="A23" s="127"/>
      <c r="B23" s="305" t="str">
        <f>IF(J14&gt;=0,"Prilagoditve niso potrebne.","")</f>
        <v>Prilagoditve niso potrebne.</v>
      </c>
      <c r="C23" s="306"/>
      <c r="D23" s="306"/>
      <c r="E23" s="307"/>
      <c r="F23" s="209"/>
      <c r="G23" s="199"/>
      <c r="H23" s="311" t="str">
        <f>IF(K14&gt;=0,"Prilagoditve niso potrebne.","")</f>
        <v>Prilagoditve niso potrebne.</v>
      </c>
      <c r="I23" s="312"/>
      <c r="J23" s="312"/>
      <c r="K23" s="313"/>
      <c r="L23" s="199"/>
      <c r="M23" s="93"/>
    </row>
    <row r="24" spans="1:13" x14ac:dyDescent="0.3">
      <c r="A24" s="127"/>
      <c r="B24" s="301" t="s">
        <v>45</v>
      </c>
      <c r="C24" s="300"/>
      <c r="D24" s="210" t="str">
        <f>IF(J14&gt;=0,"-",Izračuni!C28)</f>
        <v>-</v>
      </c>
      <c r="E24" s="12"/>
      <c r="F24" s="199"/>
      <c r="G24" s="209"/>
      <c r="H24" s="299" t="s">
        <v>45</v>
      </c>
      <c r="I24" s="300"/>
      <c r="J24" s="211" t="str">
        <f>IF(K14&gt;=0,"-",Izračuni!H28)</f>
        <v>-</v>
      </c>
      <c r="K24" s="153"/>
      <c r="L24" s="199"/>
      <c r="M24" s="93"/>
    </row>
    <row r="25" spans="1:13" x14ac:dyDescent="0.3">
      <c r="A25" s="127"/>
      <c r="B25" s="268" t="str">
        <f>IF(J14&gt;=0,"Ocenjeno letno število storitev + "&amp;"     %","Ocenjeno letno število storitev + " &amp; ROUND(D24*100,1)&amp;"%")</f>
        <v>Ocenjeno letno število storitev +      %</v>
      </c>
      <c r="C25" s="269"/>
      <c r="D25" s="212" t="str">
        <f>IF(J14&gt;=0,"-",Izračuni!C30)</f>
        <v>-</v>
      </c>
      <c r="E25" s="154" t="s">
        <v>46</v>
      </c>
      <c r="F25" s="199"/>
      <c r="G25" s="209"/>
      <c r="H25" s="295" t="str">
        <f>IF(K14&gt;=0,"Ocenjeno letno število storitev + "&amp;"     %","Ocenjeno letno število storitev + " &amp; ROUND(J24*100,1)&amp;"%")</f>
        <v>Ocenjeno letno število storitev +      %</v>
      </c>
      <c r="I25" s="296"/>
      <c r="J25" s="212" t="str">
        <f>IF(K14&gt;=0,"-",Izračuni!H30)</f>
        <v>-</v>
      </c>
      <c r="K25" s="154" t="s">
        <v>46</v>
      </c>
      <c r="L25" s="199"/>
      <c r="M25" s="93"/>
    </row>
    <row r="26" spans="1:13" x14ac:dyDescent="0.3">
      <c r="A26" s="127"/>
      <c r="B26" s="198"/>
      <c r="C26" s="213"/>
      <c r="D26" s="212"/>
      <c r="E26" s="154"/>
      <c r="F26" s="199"/>
      <c r="G26" s="209"/>
      <c r="H26" s="293"/>
      <c r="I26" s="294"/>
      <c r="J26" s="212"/>
      <c r="K26" s="154"/>
      <c r="L26" s="199"/>
      <c r="M26" s="93"/>
    </row>
    <row r="27" spans="1:13" x14ac:dyDescent="0.3">
      <c r="A27" s="127"/>
      <c r="B27" s="268" t="s">
        <v>47</v>
      </c>
      <c r="C27" s="269"/>
      <c r="D27" s="214" t="str">
        <f>IF(J14&gt;=0,"-",Izračuni!C32)</f>
        <v>-</v>
      </c>
      <c r="E27" s="12" t="s">
        <v>48</v>
      </c>
      <c r="F27" s="199"/>
      <c r="G27" s="209"/>
      <c r="H27" s="295" t="s">
        <v>47</v>
      </c>
      <c r="I27" s="296"/>
      <c r="J27" s="214" t="str">
        <f>IF(K14&gt;=0,"-",Izračuni!H32)</f>
        <v>-</v>
      </c>
      <c r="K27" s="12" t="s">
        <v>48</v>
      </c>
      <c r="L27" s="199"/>
      <c r="M27" s="93"/>
    </row>
    <row r="28" spans="1:13" x14ac:dyDescent="0.3">
      <c r="A28" s="127"/>
      <c r="B28" s="322" t="s">
        <v>49</v>
      </c>
      <c r="C28" s="323"/>
      <c r="D28" s="214" t="str">
        <f>IF(J14&gt;=0,"-",$D$8)</f>
        <v>-</v>
      </c>
      <c r="E28" s="12" t="s">
        <v>48</v>
      </c>
      <c r="F28" s="199"/>
      <c r="G28" s="209"/>
      <c r="H28" s="326" t="s">
        <v>49</v>
      </c>
      <c r="I28" s="327"/>
      <c r="J28" s="215" t="str">
        <f>IF(K14&gt;=0,"-",$D$8)</f>
        <v>-</v>
      </c>
      <c r="K28" s="12" t="s">
        <v>48</v>
      </c>
      <c r="L28" s="199"/>
      <c r="M28" s="93"/>
    </row>
    <row r="29" spans="1:13" x14ac:dyDescent="0.3">
      <c r="A29" s="127"/>
      <c r="B29" s="324" t="s">
        <v>50</v>
      </c>
      <c r="C29" s="325"/>
      <c r="D29" s="239" t="str">
        <f>IF(J14&gt;=0,"-",D28-D27)</f>
        <v>-</v>
      </c>
      <c r="E29" s="155" t="s">
        <v>48</v>
      </c>
      <c r="F29" s="199"/>
      <c r="G29" s="209"/>
      <c r="H29" s="156" t="s">
        <v>50</v>
      </c>
      <c r="I29" s="157"/>
      <c r="J29" s="158" t="str">
        <f>IF(K14&gt;=0,"-",J28-J27)</f>
        <v>-</v>
      </c>
      <c r="K29" s="128" t="s">
        <v>48</v>
      </c>
      <c r="L29" s="199"/>
      <c r="M29" s="93"/>
    </row>
    <row r="30" spans="1:13" x14ac:dyDescent="0.3">
      <c r="A30" s="127"/>
      <c r="B30" s="268"/>
      <c r="C30" s="269"/>
      <c r="D30" s="216"/>
      <c r="E30" s="154"/>
      <c r="F30" s="199"/>
      <c r="G30" s="199"/>
      <c r="H30" s="201"/>
      <c r="I30" s="199"/>
      <c r="J30" s="217"/>
      <c r="K30" s="199"/>
      <c r="L30" s="204"/>
      <c r="M30" s="93"/>
    </row>
    <row r="31" spans="1:13" x14ac:dyDescent="0.3">
      <c r="A31" s="127"/>
      <c r="B31" s="301" t="s">
        <v>51</v>
      </c>
      <c r="C31" s="300"/>
      <c r="D31" s="210" t="str">
        <f>IF(J14&gt;=0,"-",Izračuni!C38)</f>
        <v>-</v>
      </c>
      <c r="E31" s="154"/>
      <c r="F31" s="199"/>
      <c r="G31" s="199"/>
      <c r="H31" s="201"/>
      <c r="I31" s="199"/>
      <c r="J31" s="217"/>
      <c r="K31" s="199"/>
      <c r="L31" s="204"/>
      <c r="M31" s="93"/>
    </row>
    <row r="32" spans="1:13" x14ac:dyDescent="0.3">
      <c r="A32" s="127"/>
      <c r="B32" s="268" t="str">
        <f>IF(J14&gt;=0,"Življenjska doba +" &amp; "        %","Življenjska doba + " &amp; ROUND(D31*100,1)&amp;"%")</f>
        <v>Življenjska doba +        %</v>
      </c>
      <c r="C32" s="269"/>
      <c r="D32" s="218" t="str">
        <f>IF(J14&gt;=0,"-",Izračuni!C40)</f>
        <v>-</v>
      </c>
      <c r="E32" s="154" t="s">
        <v>28</v>
      </c>
      <c r="F32" s="199"/>
      <c r="G32" s="199"/>
      <c r="H32" s="201"/>
      <c r="I32" s="199"/>
      <c r="J32" s="217"/>
      <c r="K32" s="199"/>
      <c r="L32" s="204"/>
      <c r="M32" s="93"/>
    </row>
    <row r="33" spans="1:13" x14ac:dyDescent="0.3">
      <c r="A33" s="127"/>
      <c r="B33" s="268"/>
      <c r="C33" s="269"/>
      <c r="D33" s="219"/>
      <c r="E33" s="154"/>
      <c r="F33" s="199"/>
      <c r="G33" s="199"/>
      <c r="H33" s="201"/>
      <c r="I33" s="199"/>
      <c r="J33" s="217"/>
      <c r="K33" s="199"/>
      <c r="L33" s="204"/>
      <c r="M33" s="93"/>
    </row>
    <row r="34" spans="1:13" x14ac:dyDescent="0.3">
      <c r="A34" s="127"/>
      <c r="B34" s="268" t="s">
        <v>52</v>
      </c>
      <c r="C34" s="269"/>
      <c r="D34" s="215" t="str">
        <f>IF(J14&gt;=0,"-",Izračuni!C42)</f>
        <v>-</v>
      </c>
      <c r="E34" s="154" t="s">
        <v>53</v>
      </c>
      <c r="F34" s="199"/>
      <c r="G34" s="199"/>
      <c r="H34" s="201"/>
      <c r="I34" s="199"/>
      <c r="J34" s="217"/>
      <c r="K34" s="199"/>
      <c r="L34" s="199"/>
      <c r="M34" s="93"/>
    </row>
    <row r="35" spans="1:13" x14ac:dyDescent="0.3">
      <c r="A35" s="127"/>
      <c r="B35" s="268" t="s">
        <v>54</v>
      </c>
      <c r="C35" s="269"/>
      <c r="D35" s="215" t="str">
        <f>IF(J14&gt;=0,"-",Izračuni!C43)</f>
        <v>-</v>
      </c>
      <c r="E35" s="154" t="s">
        <v>53</v>
      </c>
      <c r="F35" s="199"/>
      <c r="G35" s="199"/>
      <c r="H35" s="201"/>
      <c r="I35" s="199"/>
      <c r="J35" s="217"/>
      <c r="K35" s="199"/>
      <c r="L35" s="199"/>
      <c r="M35" s="93"/>
    </row>
    <row r="36" spans="1:13" x14ac:dyDescent="0.3">
      <c r="A36" s="127"/>
      <c r="B36" s="272" t="s">
        <v>55</v>
      </c>
      <c r="C36" s="273"/>
      <c r="D36" s="215" t="str">
        <f>IF(J14&gt;=0,"-",Izračuni!C44)</f>
        <v>-</v>
      </c>
      <c r="E36" s="154" t="s">
        <v>53</v>
      </c>
      <c r="F36" s="199"/>
      <c r="G36" s="199"/>
      <c r="H36" s="201"/>
      <c r="I36" s="199"/>
      <c r="J36" s="217"/>
      <c r="K36" s="199"/>
      <c r="L36" s="199"/>
      <c r="M36" s="93"/>
    </row>
    <row r="37" spans="1:13" x14ac:dyDescent="0.3">
      <c r="A37" s="127"/>
      <c r="B37" s="274" t="s">
        <v>56</v>
      </c>
      <c r="C37" s="275"/>
      <c r="D37" s="159" t="str">
        <f>IF(J14&gt;=0,"-",Izračuni!C45)</f>
        <v>-</v>
      </c>
      <c r="E37" s="160" t="s">
        <v>53</v>
      </c>
      <c r="F37" s="199"/>
      <c r="G37" s="199"/>
      <c r="H37" s="201"/>
      <c r="I37" s="199"/>
      <c r="J37" s="217"/>
      <c r="K37" s="199"/>
      <c r="L37" s="199"/>
      <c r="M37" s="93"/>
    </row>
    <row r="38" spans="1:13" x14ac:dyDescent="0.3">
      <c r="A38" s="127"/>
      <c r="B38" s="268"/>
      <c r="C38" s="269"/>
      <c r="D38" s="220"/>
      <c r="E38" s="154"/>
      <c r="F38" s="199"/>
      <c r="G38" s="199"/>
      <c r="H38" s="201"/>
      <c r="I38" s="199"/>
      <c r="J38" s="217"/>
      <c r="K38" s="199"/>
      <c r="L38" s="199"/>
      <c r="M38" s="93"/>
    </row>
    <row r="39" spans="1:13" x14ac:dyDescent="0.3">
      <c r="A39" s="127"/>
      <c r="B39" s="268" t="s">
        <v>57</v>
      </c>
      <c r="C39" s="269"/>
      <c r="D39" s="214" t="str">
        <f>IF(J14&gt;=0,"-",Izračuni!C47)</f>
        <v>-</v>
      </c>
      <c r="E39" s="12" t="s">
        <v>48</v>
      </c>
      <c r="F39" s="199"/>
      <c r="G39" s="199"/>
      <c r="H39" s="201"/>
      <c r="I39" s="199"/>
      <c r="J39" s="217"/>
      <c r="K39" s="199"/>
      <c r="L39" s="199"/>
      <c r="M39" s="93"/>
    </row>
    <row r="40" spans="1:13" x14ac:dyDescent="0.3">
      <c r="A40" s="127"/>
      <c r="B40" s="322" t="s">
        <v>58</v>
      </c>
      <c r="C40" s="323"/>
      <c r="D40" s="215" t="str">
        <f>IF(J14&gt;=0,"-",D39-D38)</f>
        <v>-</v>
      </c>
      <c r="E40" s="12" t="s">
        <v>48</v>
      </c>
      <c r="F40" s="199"/>
      <c r="G40" s="199"/>
      <c r="H40" s="201"/>
      <c r="I40" s="199"/>
      <c r="J40" s="217"/>
      <c r="K40" s="199"/>
      <c r="L40" s="199"/>
      <c r="M40" s="93"/>
    </row>
    <row r="41" spans="1:13" x14ac:dyDescent="0.3">
      <c r="A41" s="127"/>
      <c r="B41" s="266" t="s">
        <v>59</v>
      </c>
      <c r="C41" s="267"/>
      <c r="D41" s="158" t="str">
        <f>IF(J14&gt;=0,"-",D40-D39)</f>
        <v>-</v>
      </c>
      <c r="E41" s="128" t="s">
        <v>48</v>
      </c>
      <c r="F41" s="199"/>
      <c r="G41" s="199"/>
      <c r="H41" s="201"/>
      <c r="I41" s="199"/>
      <c r="J41" s="217"/>
      <c r="K41" s="199"/>
      <c r="L41" s="199"/>
      <c r="M41" s="93"/>
    </row>
    <row r="42" spans="1:13" ht="15" thickBot="1" x14ac:dyDescent="0.35">
      <c r="A42" s="127"/>
      <c r="B42" s="270"/>
      <c r="C42" s="271"/>
      <c r="D42" s="161"/>
      <c r="E42" s="104"/>
      <c r="F42" s="162"/>
      <c r="G42" s="104"/>
      <c r="H42" s="148"/>
      <c r="I42" s="104"/>
      <c r="J42" s="161"/>
      <c r="K42" s="104"/>
      <c r="L42" s="104"/>
      <c r="M42" s="105"/>
    </row>
    <row r="43" spans="1:13" s="89" customFormat="1" ht="15" thickBot="1" x14ac:dyDescent="0.35">
      <c r="B43" s="134"/>
      <c r="C43" s="134"/>
      <c r="D43" s="163"/>
      <c r="F43" s="164"/>
      <c r="H43" s="135"/>
      <c r="J43" s="163"/>
    </row>
    <row r="44" spans="1:13" ht="15" thickBot="1" x14ac:dyDescent="0.35">
      <c r="B44" s="165"/>
      <c r="C44" s="136"/>
      <c r="D44" s="166"/>
      <c r="E44" s="91"/>
      <c r="F44" s="167"/>
      <c r="G44" s="91"/>
      <c r="H44" s="137"/>
      <c r="I44" s="91"/>
      <c r="J44" s="166"/>
      <c r="K44" s="91"/>
      <c r="L44" s="91"/>
      <c r="M44" s="92"/>
    </row>
    <row r="45" spans="1:13" ht="15" thickBot="1" x14ac:dyDescent="0.35">
      <c r="B45" s="264" t="s">
        <v>60</v>
      </c>
      <c r="C45" s="265"/>
      <c r="D45" s="199"/>
      <c r="E45" s="199"/>
      <c r="F45" s="199"/>
      <c r="G45" s="199"/>
      <c r="H45" s="201"/>
      <c r="I45" s="199"/>
      <c r="J45" s="199"/>
      <c r="K45" s="199"/>
      <c r="L45" s="199"/>
      <c r="M45" s="93"/>
    </row>
    <row r="46" spans="1:13" x14ac:dyDescent="0.3">
      <c r="B46" s="168"/>
      <c r="C46" s="200"/>
      <c r="D46" s="199"/>
      <c r="E46" s="199"/>
      <c r="F46" s="199"/>
      <c r="G46" s="199"/>
      <c r="H46" s="201"/>
      <c r="I46" s="199"/>
      <c r="J46" s="199"/>
      <c r="K46" s="199"/>
      <c r="L46" s="199"/>
      <c r="M46" s="93"/>
    </row>
    <row r="47" spans="1:13" x14ac:dyDescent="0.3">
      <c r="B47" s="318" t="str">
        <f>"Življenjske dobe do +/- 25% od izbranih " &amp; D6 &amp; " let (pri " &amp; D7 &amp; " storitvah letno)"</f>
        <v>Življenjske dobe do +/- 25% od izbranih  let (pri  storitvah letno)</v>
      </c>
      <c r="C47" s="319"/>
      <c r="D47" s="319"/>
      <c r="E47" s="320"/>
      <c r="F47" s="199"/>
      <c r="G47" s="199"/>
      <c r="H47" s="321" t="str">
        <f>"Število storitev do +/- 25% od izbranih " &amp; D7 &amp; " (pri " &amp;D6&amp; " letih življenjske dobe)"</f>
        <v>Število storitev do +/- 25% od izbranih  (pri  letih življenjske dobe)</v>
      </c>
      <c r="I47" s="319"/>
      <c r="J47" s="319"/>
      <c r="K47" s="320"/>
      <c r="L47" s="199"/>
      <c r="M47" s="93"/>
    </row>
    <row r="48" spans="1:13" x14ac:dyDescent="0.3">
      <c r="B48" s="169" t="s">
        <v>27</v>
      </c>
      <c r="C48" s="170"/>
      <c r="D48" s="199"/>
      <c r="E48" s="199"/>
      <c r="F48" s="199"/>
      <c r="G48" s="199"/>
      <c r="H48" s="170" t="s">
        <v>61</v>
      </c>
      <c r="I48" s="171"/>
      <c r="J48" s="199"/>
      <c r="K48" s="199"/>
      <c r="L48" s="199"/>
      <c r="M48" s="93"/>
    </row>
    <row r="49" spans="2:13" x14ac:dyDescent="0.3">
      <c r="B49" s="172" t="str">
        <f xml:space="preserve"> IF($D$6="","",$D$6*0.75)</f>
        <v/>
      </c>
      <c r="C49" s="173" t="str">
        <f>" (- 25%)"</f>
        <v xml:space="preserve"> (- 25%)</v>
      </c>
      <c r="D49" s="199"/>
      <c r="E49" s="199"/>
      <c r="F49" s="199"/>
      <c r="G49" s="199"/>
      <c r="H49" s="172" t="str">
        <f xml:space="preserve"> IF($D$7="","",$D$7*0.75)</f>
        <v/>
      </c>
      <c r="I49" s="173" t="str">
        <f>" (- 25%)"</f>
        <v xml:space="preserve"> (- 25%)</v>
      </c>
      <c r="J49" s="199"/>
      <c r="K49" s="199"/>
      <c r="L49" s="199"/>
      <c r="M49" s="93"/>
    </row>
    <row r="50" spans="2:13" x14ac:dyDescent="0.3">
      <c r="B50" s="172" t="str">
        <f xml:space="preserve"> IF($D$6="","",$D$6*0.8)</f>
        <v/>
      </c>
      <c r="C50" s="173" t="str">
        <f>" (- 20%)"</f>
        <v xml:space="preserve"> (- 20%)</v>
      </c>
      <c r="D50" s="199"/>
      <c r="E50" s="199"/>
      <c r="F50" s="199"/>
      <c r="G50" s="199"/>
      <c r="H50" s="172" t="str">
        <f xml:space="preserve"> IF($D$7="","",$D$7*0.8)</f>
        <v/>
      </c>
      <c r="I50" s="173" t="str">
        <f>" (- 20%)"</f>
        <v xml:space="preserve"> (- 20%)</v>
      </c>
      <c r="J50" s="199"/>
      <c r="K50" s="199"/>
      <c r="L50" s="199"/>
      <c r="M50" s="93"/>
    </row>
    <row r="51" spans="2:13" x14ac:dyDescent="0.3">
      <c r="B51" s="172" t="str">
        <f xml:space="preserve"> IF($D$6="","",$D$6*0.85)</f>
        <v/>
      </c>
      <c r="C51" s="173" t="str">
        <f>" (- 15%)"</f>
        <v xml:space="preserve"> (- 15%)</v>
      </c>
      <c r="D51" s="199"/>
      <c r="E51" s="199"/>
      <c r="F51" s="199"/>
      <c r="G51" s="199"/>
      <c r="H51" s="172" t="str">
        <f xml:space="preserve"> IF($D$7="","",$D$7*0.85)</f>
        <v/>
      </c>
      <c r="I51" s="173" t="str">
        <f>" (- 15%)"</f>
        <v xml:space="preserve"> (- 15%)</v>
      </c>
      <c r="J51" s="199"/>
      <c r="K51" s="199"/>
      <c r="L51" s="199"/>
      <c r="M51" s="93"/>
    </row>
    <row r="52" spans="2:13" x14ac:dyDescent="0.3">
      <c r="B52" s="172" t="str">
        <f xml:space="preserve"> IF($D$6="","",$D$6*0.9)</f>
        <v/>
      </c>
      <c r="C52" s="173" t="str">
        <f>" (- 10%)"</f>
        <v xml:space="preserve"> (- 10%)</v>
      </c>
      <c r="D52" s="199"/>
      <c r="E52" s="199"/>
      <c r="F52" s="199"/>
      <c r="G52" s="199"/>
      <c r="H52" s="172" t="str">
        <f xml:space="preserve"> IF($D$7="","",$D$7*0.9)</f>
        <v/>
      </c>
      <c r="I52" s="173" t="str">
        <f>" (- 10%)"</f>
        <v xml:space="preserve"> (- 10%)</v>
      </c>
      <c r="J52" s="199"/>
      <c r="K52" s="199"/>
      <c r="L52" s="199"/>
      <c r="M52" s="93"/>
    </row>
    <row r="53" spans="2:13" x14ac:dyDescent="0.3">
      <c r="B53" s="172" t="str">
        <f xml:space="preserve"> IF($D$6="","",$D$6*0.95)</f>
        <v/>
      </c>
      <c r="C53" s="173" t="str">
        <f>" (- 5%)"</f>
        <v xml:space="preserve"> (- 5%)</v>
      </c>
      <c r="D53" s="199"/>
      <c r="E53" s="199"/>
      <c r="F53" s="199"/>
      <c r="G53" s="199"/>
      <c r="H53" s="172" t="str">
        <f xml:space="preserve"> IF($D$7="","",$D$7*0.95)</f>
        <v/>
      </c>
      <c r="I53" s="173" t="str">
        <f>" (- 5%)"</f>
        <v xml:space="preserve"> (- 5%)</v>
      </c>
      <c r="J53" s="199"/>
      <c r="K53" s="199"/>
      <c r="L53" s="199"/>
      <c r="M53" s="93"/>
    </row>
    <row r="54" spans="2:13" x14ac:dyDescent="0.3">
      <c r="B54" s="172" t="str">
        <f xml:space="preserve"> IF($D$6="","",$D$6*1)</f>
        <v/>
      </c>
      <c r="C54" s="174" t="str">
        <f>" (+ 0%)"</f>
        <v xml:space="preserve"> (+ 0%)</v>
      </c>
      <c r="D54" s="199"/>
      <c r="E54" s="199"/>
      <c r="F54" s="199"/>
      <c r="G54" s="199"/>
      <c r="H54" s="172" t="str">
        <f xml:space="preserve"> IF($D$7="","",$D$7*1)</f>
        <v/>
      </c>
      <c r="I54" s="174" t="str">
        <f>" (+ 0%)"</f>
        <v xml:space="preserve"> (+ 0%)</v>
      </c>
      <c r="J54" s="199"/>
      <c r="K54" s="199"/>
      <c r="L54" s="199"/>
      <c r="M54" s="93"/>
    </row>
    <row r="55" spans="2:13" x14ac:dyDescent="0.3">
      <c r="B55" s="172" t="str">
        <f xml:space="preserve"> IF($D$6="","",$D$6*1.05)</f>
        <v/>
      </c>
      <c r="C55" s="173" t="str">
        <f>" (+ 5%)"</f>
        <v xml:space="preserve"> (+ 5%)</v>
      </c>
      <c r="D55" s="199"/>
      <c r="E55" s="199"/>
      <c r="F55" s="199"/>
      <c r="G55" s="199"/>
      <c r="H55" s="172" t="str">
        <f xml:space="preserve"> IF($D$7="","",$D$7*1.05)</f>
        <v/>
      </c>
      <c r="I55" s="173" t="str">
        <f>" (+ 5%)"</f>
        <v xml:space="preserve"> (+ 5%)</v>
      </c>
      <c r="J55" s="199"/>
      <c r="K55" s="199"/>
      <c r="L55" s="199"/>
      <c r="M55" s="93"/>
    </row>
    <row r="56" spans="2:13" x14ac:dyDescent="0.3">
      <c r="B56" s="172" t="str">
        <f xml:space="preserve"> IF($D$6="","",$D$6*1.1)</f>
        <v/>
      </c>
      <c r="C56" s="173" t="str">
        <f>" (+ 10%)"</f>
        <v xml:space="preserve"> (+ 10%)</v>
      </c>
      <c r="D56" s="199"/>
      <c r="E56" s="199"/>
      <c r="F56" s="199"/>
      <c r="G56" s="199"/>
      <c r="H56" s="172" t="str">
        <f xml:space="preserve"> IF($D$7="","",$D$7*1.1)</f>
        <v/>
      </c>
      <c r="I56" s="173" t="str">
        <f>" (+ 10%)"</f>
        <v xml:space="preserve"> (+ 10%)</v>
      </c>
      <c r="J56" s="199"/>
      <c r="K56" s="199"/>
      <c r="L56" s="199"/>
      <c r="M56" s="93"/>
    </row>
    <row r="57" spans="2:13" x14ac:dyDescent="0.3">
      <c r="B57" s="172" t="str">
        <f xml:space="preserve"> IF($D$6="","",$D$6*1.15)</f>
        <v/>
      </c>
      <c r="C57" s="173" t="str">
        <f>" (+ 15%)"</f>
        <v xml:space="preserve"> (+ 15%)</v>
      </c>
      <c r="D57" s="199"/>
      <c r="E57" s="199"/>
      <c r="F57" s="199"/>
      <c r="G57" s="199"/>
      <c r="H57" s="172" t="str">
        <f xml:space="preserve"> IF($D$7="","",$D$7*1.15)</f>
        <v/>
      </c>
      <c r="I57" s="173" t="str">
        <f>" (+ 15%)"</f>
        <v xml:space="preserve"> (+ 15%)</v>
      </c>
      <c r="J57" s="199"/>
      <c r="K57" s="199"/>
      <c r="L57" s="199"/>
      <c r="M57" s="93"/>
    </row>
    <row r="58" spans="2:13" x14ac:dyDescent="0.3">
      <c r="B58" s="172" t="str">
        <f xml:space="preserve"> IF($D$6="","",$D$6*1.2)</f>
        <v/>
      </c>
      <c r="C58" s="173" t="str">
        <f>" (+ 20%)"</f>
        <v xml:space="preserve"> (+ 20%)</v>
      </c>
      <c r="D58" s="199"/>
      <c r="E58" s="199"/>
      <c r="F58" s="199"/>
      <c r="G58" s="199"/>
      <c r="H58" s="172" t="str">
        <f xml:space="preserve"> IF($D$7="","",$D$7*1.2)</f>
        <v/>
      </c>
      <c r="I58" s="173" t="str">
        <f>" (+ 20%)"</f>
        <v xml:space="preserve"> (+ 20%)</v>
      </c>
      <c r="J58" s="199"/>
      <c r="K58" s="199"/>
      <c r="L58" s="199"/>
      <c r="M58" s="93"/>
    </row>
    <row r="59" spans="2:13" x14ac:dyDescent="0.3">
      <c r="B59" s="172" t="str">
        <f xml:space="preserve"> IF($D$6="","",$D$6*1.25)</f>
        <v/>
      </c>
      <c r="C59" s="173" t="str">
        <f>" (+ 25%)"</f>
        <v xml:space="preserve"> (+ 25%)</v>
      </c>
      <c r="D59" s="199"/>
      <c r="E59" s="199"/>
      <c r="F59" s="199"/>
      <c r="G59" s="199"/>
      <c r="H59" s="172" t="str">
        <f xml:space="preserve"> IF($D$7="","",$D$7*1.25)</f>
        <v/>
      </c>
      <c r="I59" s="173" t="str">
        <f>" (+ 25%)"</f>
        <v xml:space="preserve"> (+ 25%)</v>
      </c>
      <c r="J59" s="199"/>
      <c r="K59" s="199"/>
      <c r="L59" s="199"/>
      <c r="M59" s="93"/>
    </row>
    <row r="60" spans="2:13" ht="15" thickBot="1" x14ac:dyDescent="0.35">
      <c r="B60" s="175"/>
      <c r="C60" s="176"/>
      <c r="D60" s="104"/>
      <c r="E60" s="104"/>
      <c r="F60" s="104"/>
      <c r="G60" s="104"/>
      <c r="H60" s="148"/>
      <c r="I60" s="104"/>
      <c r="J60" s="104"/>
      <c r="K60" s="104"/>
      <c r="L60" s="104"/>
      <c r="M60" s="105"/>
    </row>
    <row r="61" spans="2:13" s="89" customFormat="1" ht="15" thickBot="1" x14ac:dyDescent="0.35">
      <c r="B61" s="134"/>
      <c r="C61" s="134"/>
      <c r="H61" s="135"/>
    </row>
    <row r="62" spans="2:13" ht="15" thickBot="1" x14ac:dyDescent="0.35">
      <c r="B62" s="165"/>
      <c r="C62" s="136"/>
      <c r="D62" s="166"/>
      <c r="E62" s="91"/>
      <c r="F62" s="167"/>
      <c r="G62" s="91"/>
      <c r="H62" s="137"/>
      <c r="I62" s="91"/>
      <c r="J62" s="166"/>
      <c r="K62" s="91"/>
      <c r="L62" s="91"/>
      <c r="M62" s="92"/>
    </row>
    <row r="63" spans="2:13" ht="15" thickBot="1" x14ac:dyDescent="0.35">
      <c r="B63" s="264" t="s">
        <v>62</v>
      </c>
      <c r="C63" s="265"/>
      <c r="D63" s="199"/>
      <c r="E63" s="199"/>
      <c r="F63" s="199"/>
      <c r="G63" s="199"/>
      <c r="H63" s="201"/>
      <c r="I63" s="199"/>
      <c r="J63" s="199"/>
      <c r="K63" s="199"/>
      <c r="L63" s="199"/>
      <c r="M63" s="93"/>
    </row>
    <row r="64" spans="2:13" x14ac:dyDescent="0.3">
      <c r="B64" s="168"/>
      <c r="C64" s="200"/>
      <c r="D64" s="199"/>
      <c r="E64" s="199"/>
      <c r="F64" s="199"/>
      <c r="G64" s="199"/>
      <c r="H64" s="201"/>
      <c r="I64" s="199"/>
      <c r="J64" s="199"/>
      <c r="K64" s="199"/>
      <c r="L64" s="199"/>
      <c r="M64" s="93"/>
    </row>
    <row r="65" spans="2:13" x14ac:dyDescent="0.3">
      <c r="B65" s="318" t="str">
        <f>"Izbor življenjske dobe (pri " &amp; D7 &amp; " storitvah letno)"</f>
        <v>Izbor življenjske dobe (pri  storitvah letno)</v>
      </c>
      <c r="C65" s="319"/>
      <c r="D65" s="320"/>
      <c r="E65" s="199"/>
      <c r="F65" s="199"/>
      <c r="G65" s="199"/>
      <c r="H65" s="321" t="str">
        <f>"Izbor števila storitev  (pri " &amp;D6&amp; " letih življenjske dobe)"</f>
        <v>Izbor števila storitev  (pri  letih življenjske dobe)</v>
      </c>
      <c r="I65" s="319"/>
      <c r="J65" s="320"/>
      <c r="K65" s="199"/>
      <c r="L65" s="199"/>
      <c r="M65" s="93"/>
    </row>
    <row r="66" spans="2:13" x14ac:dyDescent="0.3">
      <c r="B66" s="177" t="s">
        <v>63</v>
      </c>
      <c r="C66" s="221"/>
      <c r="D66" s="199"/>
      <c r="E66" s="199"/>
      <c r="F66" s="199"/>
      <c r="G66" s="199"/>
      <c r="H66" s="170" t="s">
        <v>63</v>
      </c>
      <c r="I66" s="221"/>
      <c r="J66" s="199"/>
      <c r="K66" s="199"/>
      <c r="L66" s="199"/>
      <c r="M66" s="93"/>
    </row>
    <row r="67" spans="2:13" x14ac:dyDescent="0.3">
      <c r="B67" s="41"/>
      <c r="C67" s="221"/>
      <c r="D67" s="199"/>
      <c r="E67" s="199"/>
      <c r="F67" s="199"/>
      <c r="G67" s="199"/>
      <c r="H67" s="42"/>
      <c r="I67" s="221"/>
      <c r="J67" s="199"/>
      <c r="K67" s="199"/>
      <c r="L67" s="199"/>
      <c r="M67" s="93"/>
    </row>
    <row r="68" spans="2:13" x14ac:dyDescent="0.3">
      <c r="B68" s="41"/>
      <c r="C68" s="221"/>
      <c r="D68" s="199"/>
      <c r="E68" s="199"/>
      <c r="F68" s="199"/>
      <c r="G68" s="199"/>
      <c r="H68" s="42"/>
      <c r="I68" s="221"/>
      <c r="J68" s="199"/>
      <c r="K68" s="199"/>
      <c r="L68" s="199"/>
      <c r="M68" s="93"/>
    </row>
    <row r="69" spans="2:13" x14ac:dyDescent="0.3">
      <c r="B69" s="41"/>
      <c r="C69" s="221"/>
      <c r="D69" s="199"/>
      <c r="E69" s="199"/>
      <c r="F69" s="199"/>
      <c r="G69" s="199"/>
      <c r="H69" s="42"/>
      <c r="I69" s="221"/>
      <c r="J69" s="199"/>
      <c r="K69" s="199"/>
      <c r="L69" s="199"/>
      <c r="M69" s="93"/>
    </row>
    <row r="70" spans="2:13" x14ac:dyDescent="0.3">
      <c r="B70" s="41"/>
      <c r="C70" s="221"/>
      <c r="D70" s="199"/>
      <c r="E70" s="199"/>
      <c r="F70" s="199"/>
      <c r="G70" s="199"/>
      <c r="H70" s="42"/>
      <c r="I70" s="221"/>
      <c r="J70" s="199"/>
      <c r="K70" s="199"/>
      <c r="L70" s="199"/>
      <c r="M70" s="93"/>
    </row>
    <row r="71" spans="2:13" x14ac:dyDescent="0.3">
      <c r="B71" s="41"/>
      <c r="C71" s="221"/>
      <c r="D71" s="199"/>
      <c r="E71" s="199"/>
      <c r="F71" s="199"/>
      <c r="G71" s="199"/>
      <c r="H71" s="42"/>
      <c r="I71" s="221"/>
      <c r="J71" s="199"/>
      <c r="K71" s="199"/>
      <c r="L71" s="199"/>
      <c r="M71" s="93"/>
    </row>
    <row r="72" spans="2:13" x14ac:dyDescent="0.3">
      <c r="B72" s="41"/>
      <c r="C72" s="222"/>
      <c r="D72" s="199"/>
      <c r="E72" s="199"/>
      <c r="F72" s="199"/>
      <c r="G72" s="199"/>
      <c r="H72" s="42"/>
      <c r="I72" s="222"/>
      <c r="J72" s="199"/>
      <c r="K72" s="199"/>
      <c r="L72" s="199"/>
      <c r="M72" s="93"/>
    </row>
    <row r="73" spans="2:13" x14ac:dyDescent="0.3">
      <c r="B73" s="41"/>
      <c r="C73" s="221"/>
      <c r="D73" s="199"/>
      <c r="E73" s="199"/>
      <c r="F73" s="199"/>
      <c r="G73" s="199"/>
      <c r="H73" s="42"/>
      <c r="I73" s="221"/>
      <c r="J73" s="199"/>
      <c r="K73" s="199"/>
      <c r="L73" s="199"/>
      <c r="M73" s="93"/>
    </row>
    <row r="74" spans="2:13" x14ac:dyDescent="0.3">
      <c r="B74" s="41"/>
      <c r="C74" s="221"/>
      <c r="D74" s="199"/>
      <c r="E74" s="199"/>
      <c r="F74" s="199"/>
      <c r="G74" s="199"/>
      <c r="H74" s="42"/>
      <c r="I74" s="221"/>
      <c r="J74" s="199"/>
      <c r="K74" s="199"/>
      <c r="L74" s="199"/>
      <c r="M74" s="93"/>
    </row>
    <row r="75" spans="2:13" x14ac:dyDescent="0.3">
      <c r="B75" s="41"/>
      <c r="C75" s="221"/>
      <c r="D75" s="199"/>
      <c r="E75" s="199"/>
      <c r="F75" s="199"/>
      <c r="G75" s="199"/>
      <c r="H75" s="42"/>
      <c r="I75" s="221"/>
      <c r="J75" s="199"/>
      <c r="K75" s="199"/>
      <c r="L75" s="199"/>
      <c r="M75" s="93"/>
    </row>
    <row r="76" spans="2:13" x14ac:dyDescent="0.3">
      <c r="B76" s="41"/>
      <c r="C76" s="221"/>
      <c r="D76" s="199"/>
      <c r="E76" s="199"/>
      <c r="F76" s="199"/>
      <c r="G76" s="199"/>
      <c r="H76" s="42"/>
      <c r="I76" s="221"/>
      <c r="J76" s="199"/>
      <c r="K76" s="199"/>
      <c r="L76" s="199"/>
      <c r="M76" s="93"/>
    </row>
    <row r="77" spans="2:13" x14ac:dyDescent="0.3">
      <c r="B77" s="41"/>
      <c r="C77" s="221"/>
      <c r="D77" s="199"/>
      <c r="E77" s="199"/>
      <c r="F77" s="199"/>
      <c r="G77" s="199"/>
      <c r="H77" s="42"/>
      <c r="I77" s="221"/>
      <c r="J77" s="199"/>
      <c r="K77" s="199"/>
      <c r="L77" s="199"/>
      <c r="M77" s="93"/>
    </row>
    <row r="78" spans="2:13" ht="15" thickBot="1" x14ac:dyDescent="0.35">
      <c r="B78" s="175"/>
      <c r="C78" s="176"/>
      <c r="D78" s="104"/>
      <c r="E78" s="104"/>
      <c r="F78" s="104"/>
      <c r="G78" s="104"/>
      <c r="H78" s="148"/>
      <c r="I78" s="104"/>
      <c r="J78" s="104"/>
      <c r="K78" s="104"/>
      <c r="L78" s="104"/>
      <c r="M78" s="105"/>
    </row>
    <row r="79" spans="2:13" s="89" customFormat="1" x14ac:dyDescent="0.3">
      <c r="B79" s="134"/>
      <c r="C79" s="134"/>
      <c r="H79" s="135"/>
    </row>
    <row r="80" spans="2:13" s="89" customFormat="1" x14ac:dyDescent="0.3">
      <c r="B80" s="134"/>
      <c r="C80" s="134"/>
      <c r="H80" s="135"/>
    </row>
    <row r="81" spans="2:8" s="89" customFormat="1" x14ac:dyDescent="0.3">
      <c r="B81" s="134"/>
      <c r="C81" s="134"/>
      <c r="H81" s="135"/>
    </row>
    <row r="82" spans="2:8" s="89" customFormat="1" x14ac:dyDescent="0.3">
      <c r="B82" s="134"/>
      <c r="C82" s="134"/>
      <c r="H82" s="135"/>
    </row>
    <row r="83" spans="2:8" s="89" customFormat="1" x14ac:dyDescent="0.3">
      <c r="B83" s="134"/>
      <c r="C83" s="134"/>
      <c r="H83" s="135"/>
    </row>
    <row r="84" spans="2:8" s="89" customFormat="1" x14ac:dyDescent="0.3">
      <c r="B84" s="134"/>
      <c r="C84" s="134"/>
      <c r="H84" s="135"/>
    </row>
    <row r="85" spans="2:8" s="89" customFormat="1" x14ac:dyDescent="0.3">
      <c r="B85" s="134"/>
      <c r="C85" s="134"/>
      <c r="H85" s="135"/>
    </row>
    <row r="86" spans="2:8" s="89" customFormat="1" x14ac:dyDescent="0.3">
      <c r="B86" s="134"/>
      <c r="C86" s="134"/>
      <c r="H86" s="135"/>
    </row>
    <row r="87" spans="2:8" s="89" customFormat="1" x14ac:dyDescent="0.3">
      <c r="B87" s="134"/>
      <c r="C87" s="134"/>
      <c r="H87" s="135"/>
    </row>
    <row r="88" spans="2:8" s="89" customFormat="1" x14ac:dyDescent="0.3">
      <c r="B88" s="134"/>
      <c r="C88" s="134"/>
      <c r="H88" s="135"/>
    </row>
    <row r="89" spans="2:8" s="89" customFormat="1" x14ac:dyDescent="0.3">
      <c r="B89" s="134"/>
      <c r="C89" s="134"/>
      <c r="H89" s="135"/>
    </row>
    <row r="90" spans="2:8" s="89" customFormat="1" x14ac:dyDescent="0.3">
      <c r="B90" s="134"/>
      <c r="C90" s="134"/>
      <c r="H90" s="135"/>
    </row>
    <row r="91" spans="2:8" s="89" customFormat="1" x14ac:dyDescent="0.3">
      <c r="B91" s="134"/>
      <c r="C91" s="134"/>
      <c r="H91" s="135"/>
    </row>
    <row r="92" spans="2:8" s="89" customFormat="1" x14ac:dyDescent="0.3">
      <c r="B92" s="134"/>
      <c r="C92" s="134"/>
      <c r="H92" s="135"/>
    </row>
    <row r="93" spans="2:8" s="89" customFormat="1" x14ac:dyDescent="0.3">
      <c r="B93" s="134"/>
      <c r="C93" s="134"/>
      <c r="H93" s="135"/>
    </row>
    <row r="94" spans="2:8" s="89" customFormat="1" x14ac:dyDescent="0.3">
      <c r="B94" s="134"/>
      <c r="C94" s="134"/>
      <c r="H94" s="135"/>
    </row>
    <row r="95" spans="2:8" s="89" customFormat="1" x14ac:dyDescent="0.3">
      <c r="B95" s="134"/>
      <c r="C95" s="134"/>
      <c r="H95" s="135"/>
    </row>
    <row r="96" spans="2:8" s="89" customFormat="1" x14ac:dyDescent="0.3">
      <c r="B96" s="134"/>
      <c r="C96" s="134"/>
      <c r="H96" s="135"/>
    </row>
    <row r="97" spans="2:8" s="89" customFormat="1" x14ac:dyDescent="0.3">
      <c r="B97" s="134"/>
      <c r="C97" s="134"/>
      <c r="H97" s="135"/>
    </row>
    <row r="98" spans="2:8" s="89" customFormat="1" x14ac:dyDescent="0.3">
      <c r="B98" s="134"/>
      <c r="C98" s="134"/>
      <c r="H98" s="135"/>
    </row>
    <row r="99" spans="2:8" s="89" customFormat="1" x14ac:dyDescent="0.3">
      <c r="B99" s="134"/>
      <c r="C99" s="134"/>
      <c r="H99" s="135"/>
    </row>
    <row r="100" spans="2:8" s="89" customFormat="1" x14ac:dyDescent="0.3">
      <c r="B100" s="134"/>
      <c r="C100" s="134"/>
      <c r="H100" s="135"/>
    </row>
    <row r="101" spans="2:8" s="89" customFormat="1" x14ac:dyDescent="0.3">
      <c r="B101" s="134"/>
      <c r="C101" s="134"/>
      <c r="H101" s="135"/>
    </row>
    <row r="102" spans="2:8" s="89" customFormat="1" x14ac:dyDescent="0.3">
      <c r="B102" s="134"/>
      <c r="C102" s="134"/>
      <c r="H102" s="135"/>
    </row>
    <row r="103" spans="2:8" s="89" customFormat="1" x14ac:dyDescent="0.3">
      <c r="B103" s="134"/>
      <c r="C103" s="134"/>
      <c r="H103" s="135"/>
    </row>
    <row r="104" spans="2:8" s="89" customFormat="1" x14ac:dyDescent="0.3">
      <c r="B104" s="134"/>
      <c r="C104" s="134"/>
      <c r="H104" s="135"/>
    </row>
    <row r="105" spans="2:8" s="89" customFormat="1" x14ac:dyDescent="0.3">
      <c r="B105" s="134"/>
      <c r="C105" s="134"/>
      <c r="H105" s="135"/>
    </row>
    <row r="106" spans="2:8" s="89" customFormat="1" x14ac:dyDescent="0.3">
      <c r="B106" s="134"/>
      <c r="C106" s="134"/>
      <c r="H106" s="135"/>
    </row>
    <row r="107" spans="2:8" s="89" customFormat="1" x14ac:dyDescent="0.3">
      <c r="B107" s="134"/>
      <c r="C107" s="134"/>
      <c r="H107" s="135"/>
    </row>
    <row r="108" spans="2:8" s="89" customFormat="1" x14ac:dyDescent="0.3">
      <c r="B108" s="134"/>
      <c r="C108" s="134"/>
      <c r="H108" s="135"/>
    </row>
    <row r="109" spans="2:8" s="89" customFormat="1" x14ac:dyDescent="0.3">
      <c r="B109" s="134"/>
      <c r="C109" s="134"/>
      <c r="H109" s="135"/>
    </row>
    <row r="110" spans="2:8" s="89" customFormat="1" x14ac:dyDescent="0.3">
      <c r="B110" s="134"/>
      <c r="C110" s="134"/>
      <c r="H110" s="135"/>
    </row>
    <row r="111" spans="2:8" s="89" customFormat="1" x14ac:dyDescent="0.3">
      <c r="B111" s="134"/>
      <c r="C111" s="134"/>
      <c r="H111" s="135"/>
    </row>
    <row r="112" spans="2:8" s="89" customFormat="1" x14ac:dyDescent="0.3">
      <c r="B112" s="134"/>
      <c r="C112" s="134"/>
      <c r="H112" s="135"/>
    </row>
    <row r="113" spans="2:8" s="89" customFormat="1" x14ac:dyDescent="0.3">
      <c r="B113" s="134"/>
      <c r="C113" s="134"/>
      <c r="H113" s="135"/>
    </row>
    <row r="114" spans="2:8" s="89" customFormat="1" x14ac:dyDescent="0.3">
      <c r="B114" s="134"/>
      <c r="C114" s="134"/>
      <c r="H114" s="135"/>
    </row>
    <row r="115" spans="2:8" s="89" customFormat="1" x14ac:dyDescent="0.3">
      <c r="B115" s="134"/>
      <c r="C115" s="134"/>
      <c r="H115" s="135"/>
    </row>
    <row r="116" spans="2:8" s="89" customFormat="1" x14ac:dyDescent="0.3">
      <c r="B116" s="134"/>
      <c r="C116" s="134"/>
      <c r="H116" s="135"/>
    </row>
    <row r="117" spans="2:8" s="89" customFormat="1" x14ac:dyDescent="0.3">
      <c r="B117" s="134"/>
      <c r="C117" s="134"/>
      <c r="H117" s="135"/>
    </row>
    <row r="118" spans="2:8" s="89" customFormat="1" x14ac:dyDescent="0.3">
      <c r="B118" s="134"/>
      <c r="C118" s="134"/>
      <c r="H118" s="135"/>
    </row>
    <row r="119" spans="2:8" s="89" customFormat="1" x14ac:dyDescent="0.3">
      <c r="B119" s="134"/>
      <c r="C119" s="134"/>
      <c r="H119" s="135"/>
    </row>
    <row r="120" spans="2:8" s="89" customFormat="1" x14ac:dyDescent="0.3">
      <c r="B120" s="134"/>
      <c r="C120" s="134"/>
      <c r="H120" s="135"/>
    </row>
    <row r="121" spans="2:8" s="89" customFormat="1" x14ac:dyDescent="0.3">
      <c r="B121" s="134"/>
      <c r="C121" s="134"/>
      <c r="H121" s="135"/>
    </row>
    <row r="122" spans="2:8" s="89" customFormat="1" x14ac:dyDescent="0.3">
      <c r="B122" s="134"/>
      <c r="C122" s="134"/>
      <c r="H122" s="135"/>
    </row>
    <row r="123" spans="2:8" s="89" customFormat="1" x14ac:dyDescent="0.3">
      <c r="B123" s="134"/>
      <c r="C123" s="134"/>
      <c r="H123" s="135"/>
    </row>
    <row r="124" spans="2:8" s="89" customFormat="1" x14ac:dyDescent="0.3">
      <c r="B124" s="134"/>
      <c r="C124" s="134"/>
      <c r="H124" s="135"/>
    </row>
    <row r="125" spans="2:8" s="89" customFormat="1" x14ac:dyDescent="0.3">
      <c r="B125" s="134"/>
      <c r="C125" s="134"/>
      <c r="H125" s="135"/>
    </row>
    <row r="126" spans="2:8" s="89" customFormat="1" x14ac:dyDescent="0.3">
      <c r="B126" s="134"/>
      <c r="C126" s="134"/>
      <c r="H126" s="135"/>
    </row>
    <row r="127" spans="2:8" s="89" customFormat="1" x14ac:dyDescent="0.3">
      <c r="B127" s="134"/>
      <c r="C127" s="134"/>
      <c r="H127" s="135"/>
    </row>
    <row r="128" spans="2:8" s="89" customFormat="1" x14ac:dyDescent="0.3">
      <c r="B128" s="134"/>
      <c r="C128" s="134"/>
      <c r="H128" s="135"/>
    </row>
    <row r="129" spans="2:8" s="89" customFormat="1" x14ac:dyDescent="0.3">
      <c r="B129" s="134"/>
      <c r="C129" s="134"/>
      <c r="H129" s="135"/>
    </row>
    <row r="130" spans="2:8" s="89" customFormat="1" x14ac:dyDescent="0.3">
      <c r="B130" s="134"/>
      <c r="C130" s="134"/>
      <c r="H130" s="135"/>
    </row>
    <row r="131" spans="2:8" s="89" customFormat="1" x14ac:dyDescent="0.3">
      <c r="B131" s="134"/>
      <c r="C131" s="134"/>
      <c r="H131" s="135"/>
    </row>
    <row r="132" spans="2:8" s="89" customFormat="1" x14ac:dyDescent="0.3">
      <c r="B132" s="134"/>
      <c r="C132" s="134"/>
      <c r="H132" s="135"/>
    </row>
    <row r="133" spans="2:8" s="89" customFormat="1" x14ac:dyDescent="0.3">
      <c r="B133" s="134"/>
      <c r="C133" s="134"/>
      <c r="H133" s="135"/>
    </row>
    <row r="134" spans="2:8" s="89" customFormat="1" x14ac:dyDescent="0.3">
      <c r="B134" s="134"/>
      <c r="C134" s="134"/>
      <c r="H134" s="135"/>
    </row>
    <row r="135" spans="2:8" s="89" customFormat="1" x14ac:dyDescent="0.3">
      <c r="B135" s="134"/>
      <c r="C135" s="134"/>
      <c r="H135" s="135"/>
    </row>
    <row r="136" spans="2:8" s="89" customFormat="1" x14ac:dyDescent="0.3">
      <c r="B136" s="134"/>
      <c r="C136" s="134"/>
      <c r="H136" s="135"/>
    </row>
    <row r="137" spans="2:8" s="89" customFormat="1" x14ac:dyDescent="0.3">
      <c r="B137" s="134"/>
      <c r="C137" s="134"/>
      <c r="H137" s="135"/>
    </row>
    <row r="138" spans="2:8" s="89" customFormat="1" x14ac:dyDescent="0.3">
      <c r="B138" s="134"/>
      <c r="C138" s="134"/>
      <c r="H138" s="135"/>
    </row>
    <row r="139" spans="2:8" s="89" customFormat="1" x14ac:dyDescent="0.3">
      <c r="B139" s="134"/>
      <c r="C139" s="134"/>
      <c r="H139" s="135"/>
    </row>
    <row r="140" spans="2:8" s="89" customFormat="1" x14ac:dyDescent="0.3">
      <c r="B140" s="134"/>
      <c r="C140" s="134"/>
      <c r="H140" s="135"/>
    </row>
    <row r="141" spans="2:8" s="89" customFormat="1" x14ac:dyDescent="0.3">
      <c r="B141" s="134"/>
      <c r="C141" s="134"/>
      <c r="H141" s="135"/>
    </row>
    <row r="142" spans="2:8" s="89" customFormat="1" x14ac:dyDescent="0.3">
      <c r="B142" s="134"/>
      <c r="C142" s="134"/>
      <c r="H142" s="135"/>
    </row>
    <row r="143" spans="2:8" s="89" customFormat="1" x14ac:dyDescent="0.3">
      <c r="B143" s="134"/>
      <c r="C143" s="134"/>
      <c r="H143" s="135"/>
    </row>
    <row r="144" spans="2:8" s="89" customFormat="1" x14ac:dyDescent="0.3">
      <c r="B144" s="134"/>
      <c r="C144" s="134"/>
      <c r="H144" s="135"/>
    </row>
    <row r="145" spans="2:8" s="89" customFormat="1" x14ac:dyDescent="0.3">
      <c r="B145" s="134"/>
      <c r="C145" s="134"/>
      <c r="H145" s="135"/>
    </row>
    <row r="146" spans="2:8" s="89" customFormat="1" x14ac:dyDescent="0.3">
      <c r="B146" s="134"/>
      <c r="C146" s="134"/>
      <c r="H146" s="135"/>
    </row>
    <row r="147" spans="2:8" s="89" customFormat="1" x14ac:dyDescent="0.3">
      <c r="B147" s="134"/>
      <c r="C147" s="134"/>
      <c r="H147" s="135"/>
    </row>
    <row r="148" spans="2:8" s="89" customFormat="1" x14ac:dyDescent="0.3">
      <c r="B148" s="134"/>
      <c r="C148" s="134"/>
      <c r="H148" s="135"/>
    </row>
    <row r="149" spans="2:8" s="89" customFormat="1" x14ac:dyDescent="0.3">
      <c r="B149" s="134"/>
      <c r="C149" s="134"/>
      <c r="H149" s="135"/>
    </row>
    <row r="150" spans="2:8" s="89" customFormat="1" x14ac:dyDescent="0.3">
      <c r="B150" s="134"/>
      <c r="C150" s="134"/>
      <c r="H150" s="135"/>
    </row>
    <row r="151" spans="2:8" s="89" customFormat="1" x14ac:dyDescent="0.3">
      <c r="B151" s="134"/>
      <c r="C151" s="134"/>
      <c r="H151" s="135"/>
    </row>
    <row r="152" spans="2:8" s="89" customFormat="1" x14ac:dyDescent="0.3">
      <c r="B152" s="134"/>
      <c r="C152" s="134"/>
      <c r="H152" s="135"/>
    </row>
    <row r="153" spans="2:8" s="89" customFormat="1" x14ac:dyDescent="0.3">
      <c r="B153" s="134"/>
      <c r="C153" s="134"/>
      <c r="H153" s="135"/>
    </row>
    <row r="154" spans="2:8" s="89" customFormat="1" x14ac:dyDescent="0.3">
      <c r="B154" s="134"/>
      <c r="C154" s="134"/>
      <c r="H154" s="135"/>
    </row>
    <row r="155" spans="2:8" s="89" customFormat="1" x14ac:dyDescent="0.3">
      <c r="B155" s="134"/>
      <c r="C155" s="134"/>
      <c r="H155" s="135"/>
    </row>
    <row r="156" spans="2:8" s="89" customFormat="1" x14ac:dyDescent="0.3">
      <c r="B156" s="134"/>
      <c r="C156" s="134"/>
      <c r="H156" s="135"/>
    </row>
    <row r="157" spans="2:8" s="89" customFormat="1" x14ac:dyDescent="0.3">
      <c r="B157" s="134"/>
      <c r="C157" s="134"/>
      <c r="H157" s="135"/>
    </row>
    <row r="158" spans="2:8" s="89" customFormat="1" x14ac:dyDescent="0.3">
      <c r="B158" s="134"/>
      <c r="C158" s="134"/>
      <c r="H158" s="135"/>
    </row>
    <row r="159" spans="2:8" s="89" customFormat="1" x14ac:dyDescent="0.3">
      <c r="B159" s="134"/>
      <c r="C159" s="134"/>
      <c r="H159" s="135"/>
    </row>
    <row r="160" spans="2:8" s="89" customFormat="1" x14ac:dyDescent="0.3">
      <c r="B160" s="134"/>
      <c r="C160" s="134"/>
      <c r="H160" s="135"/>
    </row>
    <row r="161" spans="2:8" s="89" customFormat="1" x14ac:dyDescent="0.3">
      <c r="B161" s="134"/>
      <c r="C161" s="134"/>
      <c r="H161" s="135"/>
    </row>
    <row r="162" spans="2:8" s="89" customFormat="1" x14ac:dyDescent="0.3">
      <c r="B162" s="134"/>
      <c r="C162" s="134"/>
      <c r="H162" s="135"/>
    </row>
    <row r="163" spans="2:8" s="89" customFormat="1" x14ac:dyDescent="0.3">
      <c r="B163" s="134"/>
      <c r="C163" s="134"/>
      <c r="H163" s="135"/>
    </row>
    <row r="164" spans="2:8" s="89" customFormat="1" x14ac:dyDescent="0.3">
      <c r="B164" s="134"/>
      <c r="C164" s="134"/>
      <c r="H164" s="135"/>
    </row>
    <row r="165" spans="2:8" s="89" customFormat="1" x14ac:dyDescent="0.3">
      <c r="B165" s="134"/>
      <c r="C165" s="134"/>
      <c r="H165" s="135"/>
    </row>
    <row r="166" spans="2:8" s="89" customFormat="1" x14ac:dyDescent="0.3">
      <c r="B166" s="134"/>
      <c r="C166" s="134"/>
      <c r="H166" s="135"/>
    </row>
    <row r="167" spans="2:8" s="89" customFormat="1" x14ac:dyDescent="0.3">
      <c r="B167" s="134"/>
      <c r="C167" s="134"/>
      <c r="H167" s="135"/>
    </row>
    <row r="168" spans="2:8" s="89" customFormat="1" x14ac:dyDescent="0.3">
      <c r="B168" s="134"/>
      <c r="C168" s="134"/>
      <c r="H168" s="135"/>
    </row>
    <row r="169" spans="2:8" s="89" customFormat="1" x14ac:dyDescent="0.3">
      <c r="B169" s="134"/>
      <c r="C169" s="134"/>
      <c r="H169" s="135"/>
    </row>
    <row r="170" spans="2:8" s="89" customFormat="1" x14ac:dyDescent="0.3">
      <c r="B170" s="134"/>
      <c r="C170" s="134"/>
      <c r="H170" s="135"/>
    </row>
    <row r="171" spans="2:8" s="89" customFormat="1" x14ac:dyDescent="0.3">
      <c r="B171" s="134"/>
      <c r="C171" s="134"/>
      <c r="H171" s="135"/>
    </row>
    <row r="172" spans="2:8" s="89" customFormat="1" x14ac:dyDescent="0.3">
      <c r="B172" s="134"/>
      <c r="C172" s="134"/>
      <c r="H172" s="135"/>
    </row>
    <row r="173" spans="2:8" s="89" customFormat="1" x14ac:dyDescent="0.3">
      <c r="B173" s="134"/>
      <c r="C173" s="134"/>
      <c r="H173" s="135"/>
    </row>
    <row r="174" spans="2:8" s="89" customFormat="1" x14ac:dyDescent="0.3">
      <c r="B174" s="134"/>
      <c r="C174" s="134"/>
      <c r="H174" s="135"/>
    </row>
    <row r="175" spans="2:8" s="89" customFormat="1" x14ac:dyDescent="0.3">
      <c r="B175" s="134"/>
      <c r="C175" s="134"/>
      <c r="H175" s="135"/>
    </row>
  </sheetData>
  <sheetProtection algorithmName="SHA-512" hashValue="2vSzM/EXM9uHeqY0JH1rXT08fOZzTMjuUWSKSaZp8sdBml+ChBCyFctJxaviSdPuo19s9E/iNqB6XJGCBQHltA==" saltValue="SNPDnxavG5DFCVh/KsizFg==" spinCount="100000" sheet="1" objects="1" scenarios="1"/>
  <mergeCells count="54">
    <mergeCell ref="B47:E47"/>
    <mergeCell ref="H47:K47"/>
    <mergeCell ref="B65:D65"/>
    <mergeCell ref="H65:J65"/>
    <mergeCell ref="B18:C18"/>
    <mergeCell ref="B28:C28"/>
    <mergeCell ref="B29:C29"/>
    <mergeCell ref="B39:C39"/>
    <mergeCell ref="B40:C40"/>
    <mergeCell ref="B31:C31"/>
    <mergeCell ref="B32:C32"/>
    <mergeCell ref="B33:C33"/>
    <mergeCell ref="B34:C34"/>
    <mergeCell ref="B35:C35"/>
    <mergeCell ref="H28:I28"/>
    <mergeCell ref="B63:C63"/>
    <mergeCell ref="B14:C14"/>
    <mergeCell ref="H26:I26"/>
    <mergeCell ref="H27:I27"/>
    <mergeCell ref="H14:I14"/>
    <mergeCell ref="H24:I24"/>
    <mergeCell ref="B24:C24"/>
    <mergeCell ref="B25:C25"/>
    <mergeCell ref="B27:C27"/>
    <mergeCell ref="H25:I25"/>
    <mergeCell ref="B22:E22"/>
    <mergeCell ref="B23:E23"/>
    <mergeCell ref="H22:K22"/>
    <mergeCell ref="H23:K23"/>
    <mergeCell ref="B20:C20"/>
    <mergeCell ref="H20:I20"/>
    <mergeCell ref="H3:I3"/>
    <mergeCell ref="B3:C3"/>
    <mergeCell ref="B5:C5"/>
    <mergeCell ref="B6:C6"/>
    <mergeCell ref="B8:C8"/>
    <mergeCell ref="H6:I6"/>
    <mergeCell ref="H8:I8"/>
    <mergeCell ref="H9:I9"/>
    <mergeCell ref="H12:I12"/>
    <mergeCell ref="H13:I13"/>
    <mergeCell ref="H11:I11"/>
    <mergeCell ref="B7:C7"/>
    <mergeCell ref="H7:I7"/>
    <mergeCell ref="H10:I10"/>
    <mergeCell ref="B12:C12"/>
    <mergeCell ref="B13:C13"/>
    <mergeCell ref="B45:C45"/>
    <mergeCell ref="B41:C41"/>
    <mergeCell ref="B30:C30"/>
    <mergeCell ref="B42:C42"/>
    <mergeCell ref="B36:C36"/>
    <mergeCell ref="B37:C37"/>
    <mergeCell ref="B38:C38"/>
  </mergeCells>
  <conditionalFormatting sqref="J14">
    <cfRule type="expression" dxfId="10" priority="11">
      <formula>$J$14&gt;=0</formula>
    </cfRule>
    <cfRule type="expression" dxfId="9" priority="16">
      <formula>$J$14&lt;0</formula>
    </cfRule>
  </conditionalFormatting>
  <conditionalFormatting sqref="K14">
    <cfRule type="expression" dxfId="8" priority="10">
      <formula>$K$14&gt;=0</formula>
    </cfRule>
    <cfRule type="expression" dxfId="7" priority="15">
      <formula>$K$14&lt;0</formula>
    </cfRule>
  </conditionalFormatting>
  <conditionalFormatting sqref="B26:E26 B24:B25 D24:E25 B27:B41 D27:E41">
    <cfRule type="expression" dxfId="6" priority="21">
      <formula>$J$14&gt;=0</formula>
    </cfRule>
  </conditionalFormatting>
  <conditionalFormatting sqref="H24:K29">
    <cfRule type="expression" dxfId="5" priority="26">
      <formula>$K$14&gt;=0</formula>
    </cfRule>
  </conditionalFormatting>
  <pageMargins left="0.7" right="0.7" top="0.75" bottom="0.75" header="0.3" footer="0.3"/>
  <pageSetup scale="1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6ACA-9B7E-4792-9A21-F9005D37BA0A}">
  <sheetPr>
    <pageSetUpPr fitToPage="1"/>
  </sheetPr>
  <dimension ref="A1:BP225"/>
  <sheetViews>
    <sheetView topLeftCell="A21" zoomScale="90" zoomScaleNormal="90" workbookViewId="0">
      <selection activeCell="J31" sqref="J31"/>
    </sheetView>
  </sheetViews>
  <sheetFormatPr defaultColWidth="9.109375" defaultRowHeight="14.4" x14ac:dyDescent="0.3"/>
  <cols>
    <col min="1" max="1" width="3" style="32" customWidth="1"/>
    <col min="2" max="2" width="30.44140625" style="32" bestFit="1" customWidth="1"/>
    <col min="3" max="13" width="11.44140625" style="32" customWidth="1"/>
    <col min="14" max="14" width="11.44140625" style="32" bestFit="1" customWidth="1"/>
    <col min="15" max="15" width="9.109375" style="32"/>
    <col min="16" max="16" width="33.88671875" style="32" bestFit="1" customWidth="1"/>
    <col min="17" max="18" width="13.109375" style="32" bestFit="1" customWidth="1"/>
    <col min="19" max="27" width="11.44140625" style="32" bestFit="1" customWidth="1"/>
    <col min="28" max="38" width="9.109375" style="32"/>
    <col min="39" max="42" width="11.44140625" style="32" bestFit="1" customWidth="1"/>
    <col min="43" max="53" width="9.109375" style="32"/>
    <col min="54" max="57" width="11.44140625" style="32" bestFit="1" customWidth="1"/>
    <col min="58" max="16384" width="9.109375" style="32"/>
  </cols>
  <sheetData>
    <row r="1" spans="1:68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</row>
    <row r="2" spans="1:68" x14ac:dyDescent="0.3">
      <c r="A2" s="62"/>
      <c r="B2" s="57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</row>
    <row r="3" spans="1:68" x14ac:dyDescent="0.3">
      <c r="A3" s="62"/>
      <c r="B3" s="55" t="s">
        <v>64</v>
      </c>
      <c r="C3" s="82">
        <v>-0.25</v>
      </c>
      <c r="D3" s="82">
        <v>-0.2</v>
      </c>
      <c r="E3" s="82">
        <v>-0.15</v>
      </c>
      <c r="F3" s="82">
        <v>-0.1</v>
      </c>
      <c r="G3" s="82">
        <v>-0.05</v>
      </c>
      <c r="H3" s="83" t="s">
        <v>65</v>
      </c>
      <c r="I3" s="83" t="s">
        <v>66</v>
      </c>
      <c r="J3" s="83" t="s">
        <v>67</v>
      </c>
      <c r="K3" s="83" t="s">
        <v>68</v>
      </c>
      <c r="L3" s="83" t="s">
        <v>69</v>
      </c>
      <c r="M3" s="83" t="s">
        <v>70</v>
      </c>
      <c r="N3" s="70" t="s">
        <v>71</v>
      </c>
      <c r="O3" s="35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</row>
    <row r="4" spans="1:68" x14ac:dyDescent="0.3">
      <c r="A4" s="62"/>
      <c r="B4" s="44" t="s">
        <v>72</v>
      </c>
      <c r="C4" s="43" t="str">
        <f>IF(OR('Analiza nakupa'!B$49=0,'Analiza nakupa'!B$49=""),"ni podatka",'Analiza nakupa'!B$49)</f>
        <v>ni podatka</v>
      </c>
      <c r="D4" s="43" t="str">
        <f>IF(OR('Analiza nakupa'!B$50=0,'Analiza nakupa'!B$50=""),"ni podatka",'Analiza nakupa'!B$50)</f>
        <v>ni podatka</v>
      </c>
      <c r="E4" s="43" t="str">
        <f>IF(OR('Analiza nakupa'!B$51=0,'Analiza nakupa'!B$51=""),"ni podatka",'Analiza nakupa'!B$51)</f>
        <v>ni podatka</v>
      </c>
      <c r="F4" s="43" t="str">
        <f>IF(OR('Analiza nakupa'!B$52=0,'Analiza nakupa'!B$52=""),"ni podatka",'Analiza nakupa'!B$52)</f>
        <v>ni podatka</v>
      </c>
      <c r="G4" s="43" t="str">
        <f>IF(OR('Analiza nakupa'!B$53=0,'Analiza nakupa'!B$53=""),"ni podatka",'Analiza nakupa'!B$53)</f>
        <v>ni podatka</v>
      </c>
      <c r="H4" s="43" t="str">
        <f>IF(OR('Analiza nakupa'!B$54=0,'Analiza nakupa'!B$54=""),"ni podatka",'Analiza nakupa'!B$54)</f>
        <v>ni podatka</v>
      </c>
      <c r="I4" s="43" t="str">
        <f>IF(OR('Analiza nakupa'!B$55=0,'Analiza nakupa'!B$55=""),"ni podatka",'Analiza nakupa'!B$55)</f>
        <v>ni podatka</v>
      </c>
      <c r="J4" s="43" t="str">
        <f>IF(OR('Analiza nakupa'!B$56=0,'Analiza nakupa'!B$56=""),"ni podatka",'Analiza nakupa'!B$56)</f>
        <v>ni podatka</v>
      </c>
      <c r="K4" s="43" t="str">
        <f>IF(OR('Analiza nakupa'!B$57=0,'Analiza nakupa'!B$57=""),"ni podatka",'Analiza nakupa'!B$57)</f>
        <v>ni podatka</v>
      </c>
      <c r="L4" s="43" t="str">
        <f>IF(OR('Analiza nakupa'!B$58=0,'Analiza nakupa'!B$58=""),"ni podatka",'Analiza nakupa'!B$58)</f>
        <v>ni podatka</v>
      </c>
      <c r="M4" s="43" t="str">
        <f>IF(OR('Analiza nakupa'!B$59=0,'Analiza nakupa'!B$59=""),"ni podatka",'Analiza nakupa'!B$59)</f>
        <v>ni podatka</v>
      </c>
      <c r="N4" s="52" t="str">
        <f>IFERROR(Izračuni!C40,"ni podatka")</f>
        <v>ni podatka</v>
      </c>
      <c r="O4" s="35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</row>
    <row r="5" spans="1:68" x14ac:dyDescent="0.3">
      <c r="A5" s="62"/>
      <c r="B5" s="44" t="s">
        <v>61</v>
      </c>
      <c r="C5" s="43">
        <f>'Analiza nakupa'!$D$7</f>
        <v>0</v>
      </c>
      <c r="D5" s="43">
        <f>'Analiza nakupa'!$D$7</f>
        <v>0</v>
      </c>
      <c r="E5" s="43">
        <f>'Analiza nakupa'!$D$7</f>
        <v>0</v>
      </c>
      <c r="F5" s="43">
        <f>'Analiza nakupa'!$D$7</f>
        <v>0</v>
      </c>
      <c r="G5" s="43">
        <f>'Analiza nakupa'!$D$7</f>
        <v>0</v>
      </c>
      <c r="H5" s="43">
        <f>'Analiza nakupa'!$D$7</f>
        <v>0</v>
      </c>
      <c r="I5" s="43">
        <f>'Analiza nakupa'!$D$7</f>
        <v>0</v>
      </c>
      <c r="J5" s="43">
        <f>'Analiza nakupa'!$D$7</f>
        <v>0</v>
      </c>
      <c r="K5" s="43">
        <f>'Analiza nakupa'!$D$7</f>
        <v>0</v>
      </c>
      <c r="L5" s="43">
        <f>'Analiza nakupa'!$D$7</f>
        <v>0</v>
      </c>
      <c r="M5" s="43">
        <f>'Analiza nakupa'!$D$7</f>
        <v>0</v>
      </c>
      <c r="N5" s="49">
        <f>'Analiza nakupa'!$D$7</f>
        <v>0</v>
      </c>
      <c r="O5" s="3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</row>
    <row r="6" spans="1:68" hidden="1" x14ac:dyDescent="0.3">
      <c r="A6" s="62"/>
      <c r="B6" s="45" t="s">
        <v>4</v>
      </c>
      <c r="C6" s="46" t="e">
        <f>'Analiza nakupa'!$D$5/'Scenariji - Različna življ doba'!C4</f>
        <v>#VALUE!</v>
      </c>
      <c r="D6" s="46" t="e">
        <f>'Analiza nakupa'!$D$5/'Scenariji - Različna življ doba'!D4</f>
        <v>#VALUE!</v>
      </c>
      <c r="E6" s="46" t="e">
        <f>'Analiza nakupa'!$D$5/'Scenariji - Različna življ doba'!E4</f>
        <v>#VALUE!</v>
      </c>
      <c r="F6" s="46" t="e">
        <f>'Analiza nakupa'!$D$5/'Scenariji - Različna življ doba'!F4</f>
        <v>#VALUE!</v>
      </c>
      <c r="G6" s="46" t="e">
        <f>'Analiza nakupa'!$D$5/'Scenariji - Različna življ doba'!G4</f>
        <v>#VALUE!</v>
      </c>
      <c r="H6" s="46" t="e">
        <f>'Analiza nakupa'!$D$5/'Scenariji - Različna življ doba'!H4</f>
        <v>#VALUE!</v>
      </c>
      <c r="I6" s="46" t="e">
        <f>'Analiza nakupa'!$D$5/'Scenariji - Različna življ doba'!I4</f>
        <v>#VALUE!</v>
      </c>
      <c r="J6" s="46" t="e">
        <f>'Analiza nakupa'!$D$5/'Scenariji - Različna življ doba'!J4</f>
        <v>#VALUE!</v>
      </c>
      <c r="K6" s="46" t="e">
        <f>'Analiza nakupa'!$D$5/'Scenariji - Različna življ doba'!K4</f>
        <v>#VALUE!</v>
      </c>
      <c r="L6" s="46" t="e">
        <f>'Analiza nakupa'!$D$5/'Scenariji - Različna življ doba'!L4</f>
        <v>#VALUE!</v>
      </c>
      <c r="M6" s="46" t="e">
        <f>'Analiza nakupa'!$D$5/'Scenariji - Različna življ doba'!M4</f>
        <v>#VALUE!</v>
      </c>
      <c r="N6" s="47" t="e">
        <f>Izračuni!C42</f>
        <v>#DIV/0!</v>
      </c>
      <c r="O6" s="35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</row>
    <row r="7" spans="1:68" hidden="1" x14ac:dyDescent="0.3">
      <c r="A7" s="62"/>
      <c r="B7" s="45" t="s">
        <v>6</v>
      </c>
      <c r="C7" s="46">
        <f>'Analiza nakupa'!$D$14</f>
        <v>0</v>
      </c>
      <c r="D7" s="46">
        <f>'Analiza nakupa'!$D$14</f>
        <v>0</v>
      </c>
      <c r="E7" s="46">
        <f>'Analiza nakupa'!$D$14</f>
        <v>0</v>
      </c>
      <c r="F7" s="46">
        <f>'Analiza nakupa'!$D$14</f>
        <v>0</v>
      </c>
      <c r="G7" s="46">
        <f>'Analiza nakupa'!$D$14</f>
        <v>0</v>
      </c>
      <c r="H7" s="46">
        <f>'Analiza nakupa'!$D$14</f>
        <v>0</v>
      </c>
      <c r="I7" s="46">
        <f>'Analiza nakupa'!$D$14</f>
        <v>0</v>
      </c>
      <c r="J7" s="46">
        <f>'Analiza nakupa'!$D$14</f>
        <v>0</v>
      </c>
      <c r="K7" s="46">
        <f>'Analiza nakupa'!$D$14</f>
        <v>0</v>
      </c>
      <c r="L7" s="46">
        <f>'Analiza nakupa'!$D$14</f>
        <v>0</v>
      </c>
      <c r="M7" s="48">
        <f>'Analiza nakupa'!$D$14</f>
        <v>0</v>
      </c>
      <c r="N7" s="47">
        <f>Izračuni!C43</f>
        <v>0</v>
      </c>
      <c r="O7" s="35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</row>
    <row r="8" spans="1:68" hidden="1" x14ac:dyDescent="0.3">
      <c r="A8" s="62"/>
      <c r="B8" s="45" t="s">
        <v>7</v>
      </c>
      <c r="C8" s="46">
        <f>Izračuni!$C$9</f>
        <v>0</v>
      </c>
      <c r="D8" s="46">
        <f>Izračuni!$C$9</f>
        <v>0</v>
      </c>
      <c r="E8" s="46">
        <f>Izračuni!$C$9</f>
        <v>0</v>
      </c>
      <c r="F8" s="46">
        <f>Izračuni!$C$9</f>
        <v>0</v>
      </c>
      <c r="G8" s="46">
        <f>Izračuni!$C$9</f>
        <v>0</v>
      </c>
      <c r="H8" s="46">
        <f>Izračuni!$C$9</f>
        <v>0</v>
      </c>
      <c r="I8" s="46">
        <f>Izračuni!$C$9</f>
        <v>0</v>
      </c>
      <c r="J8" s="46">
        <f>Izračuni!$C$9</f>
        <v>0</v>
      </c>
      <c r="K8" s="46">
        <f>Izračuni!$C$9</f>
        <v>0</v>
      </c>
      <c r="L8" s="46">
        <f>Izračuni!$C$9</f>
        <v>0</v>
      </c>
      <c r="M8" s="46">
        <f>Izračuni!$C$9</f>
        <v>0</v>
      </c>
      <c r="N8" s="46">
        <f>Izračuni!$C$9</f>
        <v>0</v>
      </c>
      <c r="O8" s="35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</row>
    <row r="9" spans="1:68" hidden="1" x14ac:dyDescent="0.3">
      <c r="A9" s="62"/>
      <c r="B9" s="45" t="s">
        <v>8</v>
      </c>
      <c r="C9" s="46" t="e">
        <f>SUM(C6:C8)</f>
        <v>#VALUE!</v>
      </c>
      <c r="D9" s="46" t="e">
        <f t="shared" ref="D9:M9" si="0">SUM(D6:D8)</f>
        <v>#VALUE!</v>
      </c>
      <c r="E9" s="46" t="e">
        <f t="shared" si="0"/>
        <v>#VALUE!</v>
      </c>
      <c r="F9" s="46" t="e">
        <f t="shared" si="0"/>
        <v>#VALUE!</v>
      </c>
      <c r="G9" s="46" t="e">
        <f t="shared" si="0"/>
        <v>#VALUE!</v>
      </c>
      <c r="H9" s="46" t="e">
        <f t="shared" si="0"/>
        <v>#VALUE!</v>
      </c>
      <c r="I9" s="46" t="e">
        <f t="shared" si="0"/>
        <v>#VALUE!</v>
      </c>
      <c r="J9" s="46" t="e">
        <f t="shared" si="0"/>
        <v>#VALUE!</v>
      </c>
      <c r="K9" s="46" t="e">
        <f t="shared" si="0"/>
        <v>#VALUE!</v>
      </c>
      <c r="L9" s="46" t="e">
        <f t="shared" si="0"/>
        <v>#VALUE!</v>
      </c>
      <c r="M9" s="46" t="e">
        <f t="shared" si="0"/>
        <v>#VALUE!</v>
      </c>
      <c r="N9" s="47" t="e">
        <f>Izračuni!C45</f>
        <v>#DIV/0!</v>
      </c>
      <c r="O9" s="35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</row>
    <row r="10" spans="1:68" x14ac:dyDescent="0.3">
      <c r="A10" s="62"/>
      <c r="B10" s="45" t="s">
        <v>11</v>
      </c>
      <c r="C10" s="46">
        <f>'Analiza nakupa'!$D$8</f>
        <v>0</v>
      </c>
      <c r="D10" s="46">
        <f>'Analiza nakupa'!$D$8</f>
        <v>0</v>
      </c>
      <c r="E10" s="46">
        <f>'Analiza nakupa'!$D$8</f>
        <v>0</v>
      </c>
      <c r="F10" s="46">
        <f>'Analiza nakupa'!$D$8</f>
        <v>0</v>
      </c>
      <c r="G10" s="46">
        <f>'Analiza nakupa'!$D$8</f>
        <v>0</v>
      </c>
      <c r="H10" s="46">
        <f>'Analiza nakupa'!$D$8</f>
        <v>0</v>
      </c>
      <c r="I10" s="46">
        <f>'Analiza nakupa'!$D$8</f>
        <v>0</v>
      </c>
      <c r="J10" s="46">
        <f>'Analiza nakupa'!$D$8</f>
        <v>0</v>
      </c>
      <c r="K10" s="46">
        <f>'Analiza nakupa'!$D$8</f>
        <v>0</v>
      </c>
      <c r="L10" s="46">
        <f>'Analiza nakupa'!$D$8</f>
        <v>0</v>
      </c>
      <c r="M10" s="46">
        <f>'Analiza nakupa'!$D$8</f>
        <v>0</v>
      </c>
      <c r="N10" s="47">
        <f>'Analiza nakupa'!$D$8</f>
        <v>0</v>
      </c>
      <c r="O10" s="35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s="37" customFormat="1" x14ac:dyDescent="0.3">
      <c r="A11" s="63"/>
      <c r="B11" s="45" t="s">
        <v>73</v>
      </c>
      <c r="C11" s="46" t="str">
        <f>IFERROR(C9/C5,"ni podatka")</f>
        <v>ni podatka</v>
      </c>
      <c r="D11" s="46" t="str">
        <f t="shared" ref="D11:M11" si="1">IFERROR(D9/D5,"ni podatka")</f>
        <v>ni podatka</v>
      </c>
      <c r="E11" s="46" t="str">
        <f t="shared" si="1"/>
        <v>ni podatka</v>
      </c>
      <c r="F11" s="46" t="str">
        <f t="shared" si="1"/>
        <v>ni podatka</v>
      </c>
      <c r="G11" s="46" t="str">
        <f t="shared" si="1"/>
        <v>ni podatka</v>
      </c>
      <c r="H11" s="46" t="str">
        <f t="shared" si="1"/>
        <v>ni podatka</v>
      </c>
      <c r="I11" s="46" t="str">
        <f t="shared" si="1"/>
        <v>ni podatka</v>
      </c>
      <c r="J11" s="46" t="str">
        <f t="shared" si="1"/>
        <v>ni podatka</v>
      </c>
      <c r="K11" s="46" t="str">
        <f t="shared" si="1"/>
        <v>ni podatka</v>
      </c>
      <c r="L11" s="46" t="str">
        <f t="shared" si="1"/>
        <v>ni podatka</v>
      </c>
      <c r="M11" s="46" t="str">
        <f t="shared" si="1"/>
        <v>ni podatka</v>
      </c>
      <c r="N11" s="47">
        <f>N10-N12</f>
        <v>0</v>
      </c>
      <c r="O11" s="38"/>
      <c r="P11" s="61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1"/>
      <c r="AF11" s="61"/>
      <c r="AG11" s="61"/>
      <c r="AH11" s="61"/>
      <c r="AI11" s="61"/>
      <c r="AJ11" s="61"/>
      <c r="AK11" s="61"/>
      <c r="AL11" s="61"/>
      <c r="AM11" s="60"/>
      <c r="AN11" s="60"/>
      <c r="AO11" s="60"/>
      <c r="AP11" s="60"/>
      <c r="AQ11" s="60"/>
      <c r="AR11" s="60"/>
      <c r="AS11" s="60"/>
      <c r="AT11" s="61"/>
      <c r="AU11" s="61"/>
      <c r="AV11" s="61"/>
      <c r="AW11" s="61"/>
      <c r="AX11" s="61"/>
      <c r="AY11" s="61"/>
      <c r="AZ11" s="61"/>
      <c r="BA11" s="61"/>
      <c r="BB11" s="60"/>
      <c r="BC11" s="60"/>
      <c r="BD11" s="60"/>
      <c r="BE11" s="60"/>
      <c r="BF11" s="60"/>
      <c r="BG11" s="60"/>
      <c r="BH11" s="60"/>
      <c r="BI11" s="61"/>
      <c r="BJ11" s="61"/>
      <c r="BK11" s="61"/>
      <c r="BL11" s="61"/>
      <c r="BM11" s="61"/>
      <c r="BN11" s="61"/>
      <c r="BO11" s="61"/>
      <c r="BP11" s="61"/>
    </row>
    <row r="12" spans="1:68" x14ac:dyDescent="0.3">
      <c r="A12" s="62"/>
      <c r="B12" s="44" t="s">
        <v>12</v>
      </c>
      <c r="C12" s="50" t="str">
        <f>IFERROR(C10-C11,"ni podatka")</f>
        <v>ni podatka</v>
      </c>
      <c r="D12" s="50" t="str">
        <f t="shared" ref="D12:M12" si="2">IFERROR(D10-D11,"ni podatka")</f>
        <v>ni podatka</v>
      </c>
      <c r="E12" s="50" t="str">
        <f t="shared" si="2"/>
        <v>ni podatka</v>
      </c>
      <c r="F12" s="50" t="str">
        <f t="shared" si="2"/>
        <v>ni podatka</v>
      </c>
      <c r="G12" s="50" t="str">
        <f t="shared" si="2"/>
        <v>ni podatka</v>
      </c>
      <c r="H12" s="50" t="str">
        <f t="shared" si="2"/>
        <v>ni podatka</v>
      </c>
      <c r="I12" s="50" t="str">
        <f t="shared" si="2"/>
        <v>ni podatka</v>
      </c>
      <c r="J12" s="50" t="str">
        <f t="shared" si="2"/>
        <v>ni podatka</v>
      </c>
      <c r="K12" s="50" t="str">
        <f t="shared" si="2"/>
        <v>ni podatka</v>
      </c>
      <c r="L12" s="50" t="str">
        <f t="shared" si="2"/>
        <v>ni podatka</v>
      </c>
      <c r="M12" s="50" t="str">
        <f t="shared" si="2"/>
        <v>ni podatka</v>
      </c>
      <c r="N12" s="51">
        <v>0</v>
      </c>
      <c r="O12" s="35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</row>
    <row r="13" spans="1:68" x14ac:dyDescent="0.3">
      <c r="A13" s="62"/>
      <c r="B13" s="22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35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</row>
    <row r="14" spans="1:68" s="53" customFormat="1" ht="15.75" customHeight="1" thickBot="1" x14ac:dyDescent="0.35">
      <c r="A14" s="63"/>
      <c r="B14" s="56" t="s">
        <v>74</v>
      </c>
      <c r="C14" s="82">
        <v>-0.25</v>
      </c>
      <c r="D14" s="82">
        <v>-0.2</v>
      </c>
      <c r="E14" s="82">
        <v>-0.15</v>
      </c>
      <c r="F14" s="82">
        <v>-0.1</v>
      </c>
      <c r="G14" s="82">
        <v>-0.05</v>
      </c>
      <c r="H14" s="83" t="s">
        <v>65</v>
      </c>
      <c r="I14" s="83" t="s">
        <v>66</v>
      </c>
      <c r="J14" s="83" t="s">
        <v>67</v>
      </c>
      <c r="K14" s="83" t="s">
        <v>68</v>
      </c>
      <c r="L14" s="83" t="s">
        <v>69</v>
      </c>
      <c r="M14" s="83" t="s">
        <v>70</v>
      </c>
      <c r="N14" s="70" t="s">
        <v>71</v>
      </c>
      <c r="O14" s="38"/>
      <c r="P14" s="61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1"/>
      <c r="AG14" s="61"/>
      <c r="AH14" s="61"/>
      <c r="AI14" s="61"/>
      <c r="AJ14" s="61"/>
      <c r="AK14" s="61"/>
      <c r="AL14" s="61"/>
      <c r="AM14" s="60"/>
      <c r="AN14" s="60"/>
      <c r="AO14" s="60"/>
      <c r="AP14" s="60"/>
      <c r="AQ14" s="60"/>
      <c r="AR14" s="60"/>
      <c r="AS14" s="60"/>
      <c r="AT14" s="61"/>
      <c r="AU14" s="61"/>
      <c r="AV14" s="61"/>
      <c r="AW14" s="61"/>
      <c r="AX14" s="61"/>
      <c r="AY14" s="61"/>
      <c r="AZ14" s="61"/>
      <c r="BA14" s="61"/>
      <c r="BB14" s="60"/>
      <c r="BC14" s="60"/>
      <c r="BD14" s="60"/>
      <c r="BE14" s="60"/>
      <c r="BF14" s="60"/>
      <c r="BG14" s="60"/>
      <c r="BH14" s="60"/>
      <c r="BI14" s="61"/>
      <c r="BJ14" s="61"/>
      <c r="BK14" s="61"/>
      <c r="BL14" s="61"/>
      <c r="BM14" s="61"/>
      <c r="BN14" s="61"/>
      <c r="BO14" s="61"/>
      <c r="BP14" s="61"/>
    </row>
    <row r="15" spans="1:68" s="53" customFormat="1" ht="15.75" customHeight="1" x14ac:dyDescent="0.3">
      <c r="A15" s="63"/>
      <c r="B15" s="44" t="s">
        <v>75</v>
      </c>
      <c r="C15" s="43" t="str">
        <f>IF(OR('Analiza nakupa'!B$49=0,'Analiza nakupa'!B$49=""),"ni podatka",'Analiza nakupa'!B$49)</f>
        <v>ni podatka</v>
      </c>
      <c r="D15" s="43" t="str">
        <f>IF(OR('Analiza nakupa'!B$50=0,'Analiza nakupa'!B$50=""),"ni podatka",'Analiza nakupa'!B$50)</f>
        <v>ni podatka</v>
      </c>
      <c r="E15" s="43" t="str">
        <f>IF(OR('Analiza nakupa'!B$51=0,'Analiza nakupa'!B$51=""),"ni podatka",'Analiza nakupa'!B$51)</f>
        <v>ni podatka</v>
      </c>
      <c r="F15" s="43" t="str">
        <f>IF(OR('Analiza nakupa'!B$52=0,'Analiza nakupa'!B$52=""),"ni podatka",'Analiza nakupa'!B$52)</f>
        <v>ni podatka</v>
      </c>
      <c r="G15" s="43" t="str">
        <f>IF(OR('Analiza nakupa'!B$53=0,'Analiza nakupa'!B$53=""),"ni podatka",'Analiza nakupa'!B$53)</f>
        <v>ni podatka</v>
      </c>
      <c r="H15" s="43" t="str">
        <f>IF(OR('Analiza nakupa'!B$54=0,'Analiza nakupa'!B$54=""),"ni podatka",'Analiza nakupa'!B$54)</f>
        <v>ni podatka</v>
      </c>
      <c r="I15" s="43" t="str">
        <f>IF(OR('Analiza nakupa'!B$55=0,'Analiza nakupa'!B$55=""),"ni podatka",'Analiza nakupa'!B$55)</f>
        <v>ni podatka</v>
      </c>
      <c r="J15" s="43" t="str">
        <f>IF(OR('Analiza nakupa'!B$56=0,'Analiza nakupa'!B$56=""),"ni podatka",'Analiza nakupa'!B$56)</f>
        <v>ni podatka</v>
      </c>
      <c r="K15" s="43" t="str">
        <f>IF(OR('Analiza nakupa'!B$57=0,'Analiza nakupa'!B$57=""),"ni podatka",'Analiza nakupa'!B$57)</f>
        <v>ni podatka</v>
      </c>
      <c r="L15" s="43" t="str">
        <f>IF(OR('Analiza nakupa'!B$58=0,'Analiza nakupa'!B$58=""),"ni podatka",'Analiza nakupa'!B$58)</f>
        <v>ni podatka</v>
      </c>
      <c r="M15" s="43" t="str">
        <f>IF(OR('Analiza nakupa'!B$59=0,'Analiza nakupa'!B$59=""),"ni podatka",'Analiza nakupa'!B$59)</f>
        <v>ni podatka</v>
      </c>
      <c r="N15" s="69" t="s">
        <v>30</v>
      </c>
      <c r="O15" s="38"/>
      <c r="P15" s="61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1"/>
      <c r="AG15" s="61"/>
      <c r="AH15" s="61"/>
      <c r="AI15" s="61"/>
      <c r="AJ15" s="61"/>
      <c r="AK15" s="61"/>
      <c r="AL15" s="61"/>
      <c r="AM15" s="60"/>
      <c r="AN15" s="60"/>
      <c r="AO15" s="60"/>
      <c r="AP15" s="60"/>
      <c r="AQ15" s="60"/>
      <c r="AR15" s="60"/>
      <c r="AS15" s="60"/>
      <c r="AT15" s="61"/>
      <c r="AU15" s="61"/>
      <c r="AV15" s="61"/>
      <c r="AW15" s="61"/>
      <c r="AX15" s="61"/>
      <c r="AY15" s="61"/>
      <c r="AZ15" s="61"/>
      <c r="BA15" s="61"/>
      <c r="BB15" s="60"/>
      <c r="BC15" s="60"/>
      <c r="BD15" s="60"/>
      <c r="BE15" s="60"/>
      <c r="BF15" s="60"/>
      <c r="BG15" s="60"/>
      <c r="BH15" s="60"/>
      <c r="BI15" s="61"/>
      <c r="BJ15" s="61"/>
      <c r="BK15" s="61"/>
      <c r="BL15" s="61"/>
      <c r="BM15" s="61"/>
      <c r="BN15" s="61"/>
      <c r="BO15" s="61"/>
      <c r="BP15" s="61"/>
    </row>
    <row r="16" spans="1:68" s="53" customFormat="1" ht="15.75" customHeight="1" x14ac:dyDescent="0.3">
      <c r="A16" s="63"/>
      <c r="B16" s="44" t="s">
        <v>61</v>
      </c>
      <c r="C16" s="43">
        <f>'Analiza nakupa'!$D$7</f>
        <v>0</v>
      </c>
      <c r="D16" s="43">
        <f>'Analiza nakupa'!$D$7</f>
        <v>0</v>
      </c>
      <c r="E16" s="43">
        <f>'Analiza nakupa'!$D$7</f>
        <v>0</v>
      </c>
      <c r="F16" s="43">
        <f>'Analiza nakupa'!$D$7</f>
        <v>0</v>
      </c>
      <c r="G16" s="43">
        <f>'Analiza nakupa'!$D$7</f>
        <v>0</v>
      </c>
      <c r="H16" s="43">
        <f>'Analiza nakupa'!$D$7</f>
        <v>0</v>
      </c>
      <c r="I16" s="43">
        <f>'Analiza nakupa'!$D$7</f>
        <v>0</v>
      </c>
      <c r="J16" s="43">
        <f>'Analiza nakupa'!$D$7</f>
        <v>0</v>
      </c>
      <c r="K16" s="43">
        <f>'Analiza nakupa'!$D$7</f>
        <v>0</v>
      </c>
      <c r="L16" s="43">
        <f>'Analiza nakupa'!$D$7</f>
        <v>0</v>
      </c>
      <c r="M16" s="43">
        <f>'Analiza nakupa'!$D$7</f>
        <v>0</v>
      </c>
      <c r="N16" s="49">
        <f>'Analiza nakupa'!$D$7</f>
        <v>0</v>
      </c>
      <c r="O16" s="38"/>
      <c r="P16" s="61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61"/>
      <c r="AG16" s="61"/>
      <c r="AH16" s="61"/>
      <c r="AI16" s="61"/>
      <c r="AJ16" s="61"/>
      <c r="AK16" s="61"/>
      <c r="AL16" s="61"/>
      <c r="AM16" s="60"/>
      <c r="AN16" s="60"/>
      <c r="AO16" s="60"/>
      <c r="AP16" s="60"/>
      <c r="AQ16" s="60"/>
      <c r="AR16" s="60"/>
      <c r="AS16" s="60"/>
      <c r="AT16" s="61"/>
      <c r="AU16" s="61"/>
      <c r="AV16" s="61"/>
      <c r="AW16" s="61"/>
      <c r="AX16" s="61"/>
      <c r="AY16" s="61"/>
      <c r="AZ16" s="61"/>
      <c r="BA16" s="61"/>
      <c r="BB16" s="60"/>
      <c r="BC16" s="60"/>
      <c r="BD16" s="60"/>
      <c r="BE16" s="60"/>
      <c r="BF16" s="60"/>
      <c r="BG16" s="60"/>
      <c r="BH16" s="60"/>
      <c r="BI16" s="61"/>
      <c r="BJ16" s="61"/>
      <c r="BK16" s="61"/>
      <c r="BL16" s="61"/>
      <c r="BM16" s="61"/>
      <c r="BN16" s="61"/>
      <c r="BO16" s="61"/>
      <c r="BP16" s="61"/>
    </row>
    <row r="17" spans="1:68" s="53" customFormat="1" ht="15.75" hidden="1" customHeight="1" x14ac:dyDescent="0.3">
      <c r="A17" s="63"/>
      <c r="B17" s="45" t="s">
        <v>5</v>
      </c>
      <c r="C17" s="46">
        <f>Izračuni!$H$7</f>
        <v>0</v>
      </c>
      <c r="D17" s="46">
        <f>Izračuni!$H$7</f>
        <v>0</v>
      </c>
      <c r="E17" s="46">
        <f>Izračuni!$H$7</f>
        <v>0</v>
      </c>
      <c r="F17" s="46">
        <f>Izračuni!$H$7</f>
        <v>0</v>
      </c>
      <c r="G17" s="46">
        <f>Izračuni!$H$7</f>
        <v>0</v>
      </c>
      <c r="H17" s="46">
        <f>Izračuni!$H$7</f>
        <v>0</v>
      </c>
      <c r="I17" s="46">
        <f>Izračuni!$H$7</f>
        <v>0</v>
      </c>
      <c r="J17" s="46">
        <f>Izračuni!$H$7</f>
        <v>0</v>
      </c>
      <c r="K17" s="46">
        <f>Izračuni!$H$7</f>
        <v>0</v>
      </c>
      <c r="L17" s="46">
        <f>Izračuni!$H$7</f>
        <v>0</v>
      </c>
      <c r="M17" s="46">
        <f>Izračuni!$H$7</f>
        <v>0</v>
      </c>
      <c r="N17" s="47"/>
      <c r="O17" s="38"/>
      <c r="P17" s="61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1"/>
      <c r="AG17" s="61"/>
      <c r="AH17" s="61"/>
      <c r="AI17" s="61"/>
      <c r="AJ17" s="61"/>
      <c r="AK17" s="61"/>
      <c r="AL17" s="61"/>
      <c r="AM17" s="60"/>
      <c r="AN17" s="60"/>
      <c r="AO17" s="60"/>
      <c r="AP17" s="60"/>
      <c r="AQ17" s="60"/>
      <c r="AR17" s="60"/>
      <c r="AS17" s="60"/>
      <c r="AT17" s="61"/>
      <c r="AU17" s="61"/>
      <c r="AV17" s="61"/>
      <c r="AW17" s="61"/>
      <c r="AX17" s="61"/>
      <c r="AY17" s="61"/>
      <c r="AZ17" s="61"/>
      <c r="BA17" s="61"/>
      <c r="BB17" s="60"/>
      <c r="BC17" s="60"/>
      <c r="BD17" s="60"/>
      <c r="BE17" s="60"/>
      <c r="BF17" s="60"/>
      <c r="BG17" s="60"/>
      <c r="BH17" s="60"/>
      <c r="BI17" s="61"/>
      <c r="BJ17" s="61"/>
      <c r="BK17" s="61"/>
      <c r="BL17" s="61"/>
      <c r="BM17" s="61"/>
      <c r="BN17" s="61"/>
      <c r="BO17" s="61"/>
      <c r="BP17" s="61"/>
    </row>
    <row r="18" spans="1:68" s="53" customFormat="1" ht="15.75" hidden="1" customHeight="1" x14ac:dyDescent="0.3">
      <c r="A18" s="63"/>
      <c r="B18" s="45" t="s">
        <v>6</v>
      </c>
      <c r="C18" s="46">
        <f>Izračuni!$H$8</f>
        <v>0</v>
      </c>
      <c r="D18" s="46">
        <f>Izračuni!$H$8</f>
        <v>0</v>
      </c>
      <c r="E18" s="46">
        <f>Izračuni!$H$8</f>
        <v>0</v>
      </c>
      <c r="F18" s="46">
        <f>Izračuni!$H$8</f>
        <v>0</v>
      </c>
      <c r="G18" s="46">
        <f>Izračuni!$H$8</f>
        <v>0</v>
      </c>
      <c r="H18" s="46">
        <f>Izračuni!$H$8</f>
        <v>0</v>
      </c>
      <c r="I18" s="46">
        <f>Izračuni!$H$8</f>
        <v>0</v>
      </c>
      <c r="J18" s="46">
        <f>Izračuni!$H$8</f>
        <v>0</v>
      </c>
      <c r="K18" s="46">
        <f>Izračuni!$H$8</f>
        <v>0</v>
      </c>
      <c r="L18" s="46">
        <f>Izračuni!$H$8</f>
        <v>0</v>
      </c>
      <c r="M18" s="46">
        <f>Izračuni!$H$8</f>
        <v>0</v>
      </c>
      <c r="N18" s="47"/>
      <c r="O18" s="38"/>
      <c r="P18" s="61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1"/>
      <c r="AG18" s="61"/>
      <c r="AH18" s="61"/>
      <c r="AI18" s="61"/>
      <c r="AJ18" s="61"/>
      <c r="AK18" s="61"/>
      <c r="AL18" s="61"/>
      <c r="AM18" s="60"/>
      <c r="AN18" s="60"/>
      <c r="AO18" s="60"/>
      <c r="AP18" s="60"/>
      <c r="AQ18" s="60"/>
      <c r="AR18" s="60"/>
      <c r="AS18" s="60"/>
      <c r="AT18" s="61"/>
      <c r="AU18" s="61"/>
      <c r="AV18" s="61"/>
      <c r="AW18" s="61"/>
      <c r="AX18" s="61"/>
      <c r="AY18" s="61"/>
      <c r="AZ18" s="61"/>
      <c r="BA18" s="61"/>
      <c r="BB18" s="60"/>
      <c r="BC18" s="60"/>
      <c r="BD18" s="60"/>
      <c r="BE18" s="60"/>
      <c r="BF18" s="60"/>
      <c r="BG18" s="60"/>
      <c r="BH18" s="60"/>
      <c r="BI18" s="61"/>
      <c r="BJ18" s="61"/>
      <c r="BK18" s="61"/>
      <c r="BL18" s="61"/>
      <c r="BM18" s="61"/>
      <c r="BN18" s="61"/>
      <c r="BO18" s="61"/>
      <c r="BP18" s="61"/>
    </row>
    <row r="19" spans="1:68" s="53" customFormat="1" ht="15.75" hidden="1" customHeight="1" x14ac:dyDescent="0.3">
      <c r="A19" s="63"/>
      <c r="B19" s="45" t="s">
        <v>5</v>
      </c>
      <c r="C19" s="46">
        <f>Izračuni!$H$9</f>
        <v>0</v>
      </c>
      <c r="D19" s="46">
        <f>Izračuni!$H$9</f>
        <v>0</v>
      </c>
      <c r="E19" s="46">
        <f>Izračuni!$H$9</f>
        <v>0</v>
      </c>
      <c r="F19" s="46">
        <f>Izračuni!$H$9</f>
        <v>0</v>
      </c>
      <c r="G19" s="46">
        <f>Izračuni!$H$9</f>
        <v>0</v>
      </c>
      <c r="H19" s="46">
        <f>Izračuni!$H$9</f>
        <v>0</v>
      </c>
      <c r="I19" s="46">
        <f>Izračuni!$H$9</f>
        <v>0</v>
      </c>
      <c r="J19" s="46">
        <f>Izračuni!$H$9</f>
        <v>0</v>
      </c>
      <c r="K19" s="46">
        <f>Izračuni!$H$9</f>
        <v>0</v>
      </c>
      <c r="L19" s="46">
        <f>Izračuni!$H$9</f>
        <v>0</v>
      </c>
      <c r="M19" s="46">
        <f>Izračuni!$H$9</f>
        <v>0</v>
      </c>
      <c r="N19" s="47"/>
      <c r="O19" s="38"/>
      <c r="P19" s="61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1"/>
      <c r="AG19" s="61"/>
      <c r="AH19" s="61"/>
      <c r="AI19" s="61"/>
      <c r="AJ19" s="61"/>
      <c r="AK19" s="61"/>
      <c r="AL19" s="61"/>
      <c r="AM19" s="60"/>
      <c r="AN19" s="60"/>
      <c r="AO19" s="60"/>
      <c r="AP19" s="60"/>
      <c r="AQ19" s="60"/>
      <c r="AR19" s="60"/>
      <c r="AS19" s="60"/>
      <c r="AT19" s="61"/>
      <c r="AU19" s="61"/>
      <c r="AV19" s="61"/>
      <c r="AW19" s="61"/>
      <c r="AX19" s="61"/>
      <c r="AY19" s="61"/>
      <c r="AZ19" s="61"/>
      <c r="BA19" s="61"/>
      <c r="BB19" s="60"/>
      <c r="BC19" s="60"/>
      <c r="BD19" s="60"/>
      <c r="BE19" s="60"/>
      <c r="BF19" s="60"/>
      <c r="BG19" s="60"/>
      <c r="BH19" s="60"/>
      <c r="BI19" s="61"/>
      <c r="BJ19" s="61"/>
      <c r="BK19" s="61"/>
      <c r="BL19" s="61"/>
      <c r="BM19" s="61"/>
      <c r="BN19" s="61"/>
      <c r="BO19" s="61"/>
      <c r="BP19" s="61"/>
    </row>
    <row r="20" spans="1:68" hidden="1" x14ac:dyDescent="0.3">
      <c r="A20" s="62"/>
      <c r="B20" s="45" t="s">
        <v>8</v>
      </c>
      <c r="C20" s="46">
        <f>SUM(C17:C19)</f>
        <v>0</v>
      </c>
      <c r="D20" s="46">
        <f t="shared" ref="D20:M20" si="3">SUM(D17:D19)</f>
        <v>0</v>
      </c>
      <c r="E20" s="46">
        <f t="shared" si="3"/>
        <v>0</v>
      </c>
      <c r="F20" s="46">
        <f t="shared" si="3"/>
        <v>0</v>
      </c>
      <c r="G20" s="46">
        <f t="shared" si="3"/>
        <v>0</v>
      </c>
      <c r="H20" s="46">
        <f t="shared" si="3"/>
        <v>0</v>
      </c>
      <c r="I20" s="46">
        <f t="shared" si="3"/>
        <v>0</v>
      </c>
      <c r="J20" s="46">
        <f t="shared" si="3"/>
        <v>0</v>
      </c>
      <c r="K20" s="46">
        <f t="shared" si="3"/>
        <v>0</v>
      </c>
      <c r="L20" s="46">
        <f t="shared" si="3"/>
        <v>0</v>
      </c>
      <c r="M20" s="46">
        <f t="shared" si="3"/>
        <v>0</v>
      </c>
      <c r="N20" s="47"/>
      <c r="O20" s="35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</row>
    <row r="21" spans="1:68" x14ac:dyDescent="0.3">
      <c r="A21" s="62"/>
      <c r="B21" s="45" t="s">
        <v>11</v>
      </c>
      <c r="C21" s="46">
        <f>'Analiza nakupa'!$D$8</f>
        <v>0</v>
      </c>
      <c r="D21" s="46">
        <f>'Analiza nakupa'!$D$8</f>
        <v>0</v>
      </c>
      <c r="E21" s="46">
        <f>'Analiza nakupa'!$D$8</f>
        <v>0</v>
      </c>
      <c r="F21" s="46">
        <f>'Analiza nakupa'!$D$8</f>
        <v>0</v>
      </c>
      <c r="G21" s="46">
        <f>'Analiza nakupa'!$D$8</f>
        <v>0</v>
      </c>
      <c r="H21" s="46">
        <f>'Analiza nakupa'!$D$8</f>
        <v>0</v>
      </c>
      <c r="I21" s="46">
        <f>'Analiza nakupa'!$D$8</f>
        <v>0</v>
      </c>
      <c r="J21" s="46">
        <f>'Analiza nakupa'!$D$8</f>
        <v>0</v>
      </c>
      <c r="K21" s="46">
        <f>'Analiza nakupa'!$D$8</f>
        <v>0</v>
      </c>
      <c r="L21" s="46">
        <f>'Analiza nakupa'!$D$8</f>
        <v>0</v>
      </c>
      <c r="M21" s="46">
        <f>'Analiza nakupa'!$D$8</f>
        <v>0</v>
      </c>
      <c r="N21" s="67" t="s">
        <v>30</v>
      </c>
      <c r="O21" s="35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</row>
    <row r="22" spans="1:68" x14ac:dyDescent="0.3">
      <c r="A22" s="62"/>
      <c r="B22" s="45" t="s">
        <v>73</v>
      </c>
      <c r="C22" s="46" t="str">
        <f>IFERROR(C20/C16,"ni podatka")</f>
        <v>ni podatka</v>
      </c>
      <c r="D22" s="46" t="str">
        <f t="shared" ref="D22:M22" si="4">IFERROR(D20/D16,"ni podatka")</f>
        <v>ni podatka</v>
      </c>
      <c r="E22" s="46" t="str">
        <f t="shared" si="4"/>
        <v>ni podatka</v>
      </c>
      <c r="F22" s="46" t="str">
        <f t="shared" si="4"/>
        <v>ni podatka</v>
      </c>
      <c r="G22" s="46" t="str">
        <f t="shared" si="4"/>
        <v>ni podatka</v>
      </c>
      <c r="H22" s="46" t="str">
        <f t="shared" si="4"/>
        <v>ni podatka</v>
      </c>
      <c r="I22" s="46" t="str">
        <f t="shared" si="4"/>
        <v>ni podatka</v>
      </c>
      <c r="J22" s="46" t="str">
        <f t="shared" si="4"/>
        <v>ni podatka</v>
      </c>
      <c r="K22" s="46" t="str">
        <f t="shared" si="4"/>
        <v>ni podatka</v>
      </c>
      <c r="L22" s="46" t="str">
        <f t="shared" si="4"/>
        <v>ni podatka</v>
      </c>
      <c r="M22" s="46" t="str">
        <f t="shared" si="4"/>
        <v>ni podatka</v>
      </c>
      <c r="N22" s="67" t="s">
        <v>30</v>
      </c>
      <c r="O22" s="35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</row>
    <row r="23" spans="1:68" x14ac:dyDescent="0.3">
      <c r="A23" s="62"/>
      <c r="B23" s="44" t="s">
        <v>12</v>
      </c>
      <c r="C23" s="50" t="str">
        <f>IFERROR(C21-C22,"ni podatka")</f>
        <v>ni podatka</v>
      </c>
      <c r="D23" s="50" t="str">
        <f t="shared" ref="D23:M23" si="5">IFERROR(D21-D22,"ni podatka")</f>
        <v>ni podatka</v>
      </c>
      <c r="E23" s="50" t="str">
        <f t="shared" si="5"/>
        <v>ni podatka</v>
      </c>
      <c r="F23" s="50" t="str">
        <f t="shared" si="5"/>
        <v>ni podatka</v>
      </c>
      <c r="G23" s="50" t="str">
        <f t="shared" si="5"/>
        <v>ni podatka</v>
      </c>
      <c r="H23" s="50" t="str">
        <f t="shared" si="5"/>
        <v>ni podatka</v>
      </c>
      <c r="I23" s="50" t="str">
        <f t="shared" si="5"/>
        <v>ni podatka</v>
      </c>
      <c r="J23" s="50" t="str">
        <f t="shared" si="5"/>
        <v>ni podatka</v>
      </c>
      <c r="K23" s="50" t="str">
        <f t="shared" si="5"/>
        <v>ni podatka</v>
      </c>
      <c r="L23" s="50" t="str">
        <f t="shared" si="5"/>
        <v>ni podatka</v>
      </c>
      <c r="M23" s="50" t="str">
        <f t="shared" si="5"/>
        <v>ni podatka</v>
      </c>
      <c r="N23" s="68" t="s">
        <v>30</v>
      </c>
      <c r="O23" s="35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</row>
    <row r="24" spans="1:68" x14ac:dyDescent="0.3">
      <c r="A24" s="60"/>
      <c r="B24" s="58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35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</row>
    <row r="25" spans="1:68" x14ac:dyDescent="0.3">
      <c r="A25" s="60"/>
      <c r="B25" s="58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35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</row>
    <row r="26" spans="1:68" x14ac:dyDescent="0.3">
      <c r="A26" s="60"/>
      <c r="B26" s="58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35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</row>
    <row r="27" spans="1:68" x14ac:dyDescent="0.3">
      <c r="A27" s="60"/>
      <c r="B27" s="58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35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</row>
    <row r="28" spans="1:68" x14ac:dyDescent="0.3">
      <c r="A28" s="60"/>
      <c r="B28" s="58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35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68" x14ac:dyDescent="0.3">
      <c r="A29" s="60"/>
      <c r="B29" s="58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35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</row>
    <row r="30" spans="1:68" x14ac:dyDescent="0.3">
      <c r="A30" s="60"/>
      <c r="B30" s="58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35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</row>
    <row r="31" spans="1:68" x14ac:dyDescent="0.3">
      <c r="A31" s="60"/>
      <c r="B31" s="58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35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</row>
    <row r="32" spans="1:68" x14ac:dyDescent="0.3">
      <c r="A32" s="60"/>
      <c r="B32" s="58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35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</row>
    <row r="33" spans="1:68" x14ac:dyDescent="0.3">
      <c r="A33" s="60"/>
      <c r="B33" s="58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35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</row>
    <row r="34" spans="1:68" x14ac:dyDescent="0.3">
      <c r="A34" s="60"/>
      <c r="B34" s="58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35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</row>
    <row r="35" spans="1:68" x14ac:dyDescent="0.3">
      <c r="A35" s="60"/>
      <c r="B35" s="58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35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</row>
    <row r="36" spans="1:68" x14ac:dyDescent="0.3">
      <c r="A36" s="60"/>
      <c r="B36" s="58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35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</row>
    <row r="37" spans="1:68" x14ac:dyDescent="0.3">
      <c r="A37" s="60"/>
      <c r="B37" s="58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35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</row>
    <row r="38" spans="1:68" x14ac:dyDescent="0.3">
      <c r="A38" s="60"/>
      <c r="B38" s="58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35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</row>
    <row r="39" spans="1:68" x14ac:dyDescent="0.3">
      <c r="A39" s="60"/>
      <c r="B39" s="58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35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</row>
    <row r="40" spans="1:68" x14ac:dyDescent="0.3">
      <c r="A40" s="60"/>
      <c r="B40" s="58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35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</row>
    <row r="41" spans="1:68" x14ac:dyDescent="0.3">
      <c r="A41" s="60"/>
      <c r="B41" s="58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35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</row>
    <row r="42" spans="1:68" x14ac:dyDescent="0.3">
      <c r="A42" s="60"/>
      <c r="B42" s="58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35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</row>
    <row r="43" spans="1:68" x14ac:dyDescent="0.3">
      <c r="A43" s="60"/>
      <c r="B43" s="58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35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</row>
    <row r="44" spans="1:68" x14ac:dyDescent="0.3">
      <c r="A44" s="60"/>
      <c r="B44" s="58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35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</row>
    <row r="45" spans="1:68" x14ac:dyDescent="0.3">
      <c r="A45" s="60"/>
      <c r="B45" s="5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</row>
    <row r="46" spans="1:68" x14ac:dyDescent="0.3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</row>
    <row r="47" spans="1:68" x14ac:dyDescent="0.3">
      <c r="A47" s="60"/>
      <c r="B47" s="5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</row>
    <row r="48" spans="1:68" s="37" customFormat="1" ht="15.75" customHeight="1" thickBot="1" x14ac:dyDescent="0.35">
      <c r="A48" s="60"/>
      <c r="B48" s="55" t="s">
        <v>76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70" t="s">
        <v>71</v>
      </c>
      <c r="O48" s="35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</row>
    <row r="49" spans="1:68" s="37" customFormat="1" ht="13.5" customHeight="1" x14ac:dyDescent="0.3">
      <c r="A49" s="60"/>
      <c r="B49" s="84" t="str">
        <f>B50</f>
        <v>Življenjska doba (leta)</v>
      </c>
      <c r="C49" s="43" t="str">
        <f>IF(OR('Analiza nakupa'!B$67=0,'Analiza nakupa'!B$67=""),"ni podatka",'Analiza nakupa'!B$67)</f>
        <v>ni podatka</v>
      </c>
      <c r="D49" s="43" t="str">
        <f>IF(OR('Analiza nakupa'!B$68=0,'Analiza nakupa'!B$68=""),"ni podatka",'Analiza nakupa'!B$68)</f>
        <v>ni podatka</v>
      </c>
      <c r="E49" s="43" t="str">
        <f>IF(OR('Analiza nakupa'!B$69=0,'Analiza nakupa'!B$69=""),"ni podatka",'Analiza nakupa'!B$69)</f>
        <v>ni podatka</v>
      </c>
      <c r="F49" s="43" t="str">
        <f>IF(OR('Analiza nakupa'!B$70=0,'Analiza nakupa'!B$70=""),"ni podatka",'Analiza nakupa'!B$70)</f>
        <v>ni podatka</v>
      </c>
      <c r="G49" s="43" t="str">
        <f>IF(OR('Analiza nakupa'!B$71=0,'Analiza nakupa'!B$71=""),"ni podatka",'Analiza nakupa'!B$71)</f>
        <v>ni podatka</v>
      </c>
      <c r="H49" s="43" t="str">
        <f>IF(OR('Analiza nakupa'!B$72=0,'Analiza nakupa'!B$72=""),"ni podatka",'Analiza nakupa'!B$72)</f>
        <v>ni podatka</v>
      </c>
      <c r="I49" s="43" t="str">
        <f>IF(OR('Analiza nakupa'!B$73=0,'Analiza nakupa'!B$73=""),"ni podatka",'Analiza nakupa'!B$73)</f>
        <v>ni podatka</v>
      </c>
      <c r="J49" s="43" t="str">
        <f>IF(OR('Analiza nakupa'!B$74=0,'Analiza nakupa'!B$74=""),"ni podatka",'Analiza nakupa'!B$74)</f>
        <v>ni podatka</v>
      </c>
      <c r="K49" s="43" t="str">
        <f>IF(OR('Analiza nakupa'!B$75=0,'Analiza nakupa'!B$75=""),"ni podatka",'Analiza nakupa'!B$75)</f>
        <v>ni podatka</v>
      </c>
      <c r="L49" s="43" t="str">
        <f>IF(OR('Analiza nakupa'!B$76=0,'Analiza nakupa'!B$76=""),"ni podatka",'Analiza nakupa'!B$76)</f>
        <v>ni podatka</v>
      </c>
      <c r="M49" s="43" t="str">
        <f>IF(OR('Analiza nakupa'!B$77=0,'Analiza nakupa'!B$77=""),"ni podatka",'Analiza nakupa'!B$77)</f>
        <v>ni podatka</v>
      </c>
      <c r="N49" s="52" t="str">
        <f>IFERROR(N50,"ni podatka")</f>
        <v>ni podatka</v>
      </c>
      <c r="O49" s="35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</row>
    <row r="50" spans="1:68" s="37" customFormat="1" ht="13.5" hidden="1" customHeight="1" x14ac:dyDescent="0.3">
      <c r="A50" s="60"/>
      <c r="B50" s="44" t="s">
        <v>75</v>
      </c>
      <c r="C50" s="43" t="e">
        <f>IF(OR('Analiza nakupa'!B$67=0,'Analiza nakupa'!B$67=""),NA(),'Analiza nakupa'!B$67)</f>
        <v>#N/A</v>
      </c>
      <c r="D50" s="43" t="e">
        <f>IF(OR('Analiza nakupa'!B$68=0,'Analiza nakupa'!B$68=""),NA(),'Analiza nakupa'!B$68)</f>
        <v>#N/A</v>
      </c>
      <c r="E50" s="43" t="e">
        <f>IF(OR('Analiza nakupa'!B$69=0,'Analiza nakupa'!B$69=""),NA(),'Analiza nakupa'!B$69)</f>
        <v>#N/A</v>
      </c>
      <c r="F50" s="43" t="e">
        <f>IF(OR('Analiza nakupa'!B$70=0,'Analiza nakupa'!B$70=""),NA(),'Analiza nakupa'!B$70)</f>
        <v>#N/A</v>
      </c>
      <c r="G50" s="43" t="e">
        <f>IF(OR('Analiza nakupa'!B$71=0,'Analiza nakupa'!B$71=""),NA(),'Analiza nakupa'!B$71)</f>
        <v>#N/A</v>
      </c>
      <c r="H50" s="43" t="e">
        <f>IF(OR('Analiza nakupa'!B$72=0,'Analiza nakupa'!B$72=""),NA(),'Analiza nakupa'!B$72)</f>
        <v>#N/A</v>
      </c>
      <c r="I50" s="43" t="e">
        <f>IF(OR('Analiza nakupa'!B$73=0,'Analiza nakupa'!B$73=""),NA(),'Analiza nakupa'!B$73)</f>
        <v>#N/A</v>
      </c>
      <c r="J50" s="43" t="e">
        <f>IF(OR('Analiza nakupa'!B$74=0,'Analiza nakupa'!B$74=""),NA(),'Analiza nakupa'!B$74)</f>
        <v>#N/A</v>
      </c>
      <c r="K50" s="43" t="e">
        <f>IF(OR('Analiza nakupa'!B$75=0,'Analiza nakupa'!B$75=""),NA(),'Analiza nakupa'!B$75)</f>
        <v>#N/A</v>
      </c>
      <c r="L50" s="43" t="e">
        <f>IF(OR('Analiza nakupa'!B$76=0,'Analiza nakupa'!B$76=""),NA(),'Analiza nakupa'!B$76)</f>
        <v>#N/A</v>
      </c>
      <c r="M50" s="43" t="e">
        <f>IF(OR('Analiza nakupa'!B$77=0,'Analiza nakupa'!B$77=""),NA(),'Analiza nakupa'!B$77)</f>
        <v>#N/A</v>
      </c>
      <c r="N50" s="52" t="e">
        <f>Izračuni!C40</f>
        <v>#DIV/0!</v>
      </c>
      <c r="O50" s="35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</row>
    <row r="51" spans="1:68" s="37" customFormat="1" ht="13.5" customHeight="1" x14ac:dyDescent="0.3">
      <c r="A51" s="60"/>
      <c r="B51" s="44" t="s">
        <v>61</v>
      </c>
      <c r="C51" s="43">
        <f>'Analiza nakupa'!$D$7</f>
        <v>0</v>
      </c>
      <c r="D51" s="43">
        <f>'Analiza nakupa'!$D$7</f>
        <v>0</v>
      </c>
      <c r="E51" s="43">
        <f>'Analiza nakupa'!$D$7</f>
        <v>0</v>
      </c>
      <c r="F51" s="43">
        <f>'Analiza nakupa'!$D$7</f>
        <v>0</v>
      </c>
      <c r="G51" s="43">
        <f>'Analiza nakupa'!$D$7</f>
        <v>0</v>
      </c>
      <c r="H51" s="43">
        <f>'Analiza nakupa'!$D$7</f>
        <v>0</v>
      </c>
      <c r="I51" s="43">
        <f>'Analiza nakupa'!$D$7</f>
        <v>0</v>
      </c>
      <c r="J51" s="43">
        <f>'Analiza nakupa'!$D$7</f>
        <v>0</v>
      </c>
      <c r="K51" s="43">
        <f>'Analiza nakupa'!$D$7</f>
        <v>0</v>
      </c>
      <c r="L51" s="43">
        <f>'Analiza nakupa'!$D$7</f>
        <v>0</v>
      </c>
      <c r="M51" s="43">
        <f>'Analiza nakupa'!$D$7</f>
        <v>0</v>
      </c>
      <c r="N51" s="49">
        <f>'Analiza nakupa'!$D$7</f>
        <v>0</v>
      </c>
      <c r="O51" s="35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</row>
    <row r="52" spans="1:68" s="37" customFormat="1" hidden="1" x14ac:dyDescent="0.3">
      <c r="A52" s="60"/>
      <c r="B52" s="45" t="s">
        <v>4</v>
      </c>
      <c r="C52" s="46" t="e">
        <f>'Analiza nakupa'!$D$5/'Scenariji - Različna življ doba'!C50</f>
        <v>#N/A</v>
      </c>
      <c r="D52" s="46" t="e">
        <f>'Analiza nakupa'!$D$5/'Scenariji - Različna življ doba'!D50</f>
        <v>#N/A</v>
      </c>
      <c r="E52" s="46" t="e">
        <f>'Analiza nakupa'!$D$5/'Scenariji - Različna življ doba'!E50</f>
        <v>#N/A</v>
      </c>
      <c r="F52" s="46" t="e">
        <f>'Analiza nakupa'!$D$5/'Scenariji - Različna življ doba'!F50</f>
        <v>#N/A</v>
      </c>
      <c r="G52" s="46" t="e">
        <f>'Analiza nakupa'!$D$5/'Scenariji - Različna življ doba'!G50</f>
        <v>#N/A</v>
      </c>
      <c r="H52" s="46" t="e">
        <f>'Analiza nakupa'!$D$5/'Scenariji - Različna življ doba'!H50</f>
        <v>#N/A</v>
      </c>
      <c r="I52" s="46" t="e">
        <f>'Analiza nakupa'!$D$5/'Scenariji - Različna življ doba'!I50</f>
        <v>#N/A</v>
      </c>
      <c r="J52" s="46" t="e">
        <f>'Analiza nakupa'!$D$5/'Scenariji - Različna življ doba'!J50</f>
        <v>#N/A</v>
      </c>
      <c r="K52" s="46" t="e">
        <f>'Analiza nakupa'!$D$5/'Scenariji - Različna življ doba'!K50</f>
        <v>#N/A</v>
      </c>
      <c r="L52" s="46" t="e">
        <f>'Analiza nakupa'!$D$5/'Scenariji - Različna življ doba'!L50</f>
        <v>#N/A</v>
      </c>
      <c r="M52" s="46" t="e">
        <f>'Analiza nakupa'!$D$5/'Scenariji - Različna življ doba'!M50</f>
        <v>#N/A</v>
      </c>
      <c r="N52" s="47">
        <f>Izračuni!C77</f>
        <v>0</v>
      </c>
      <c r="O52" s="35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</row>
    <row r="53" spans="1:68" s="37" customFormat="1" hidden="1" x14ac:dyDescent="0.3">
      <c r="A53" s="60"/>
      <c r="B53" s="45" t="s">
        <v>6</v>
      </c>
      <c r="C53" s="46">
        <f>'Analiza nakupa'!$D$14</f>
        <v>0</v>
      </c>
      <c r="D53" s="46">
        <f>'Analiza nakupa'!$D$14</f>
        <v>0</v>
      </c>
      <c r="E53" s="46">
        <f>'Analiza nakupa'!$D$14</f>
        <v>0</v>
      </c>
      <c r="F53" s="46">
        <f>'Analiza nakupa'!$D$14</f>
        <v>0</v>
      </c>
      <c r="G53" s="46">
        <f>'Analiza nakupa'!$D$14</f>
        <v>0</v>
      </c>
      <c r="H53" s="46">
        <f>'Analiza nakupa'!$D$14</f>
        <v>0</v>
      </c>
      <c r="I53" s="46">
        <f>'Analiza nakupa'!$D$14</f>
        <v>0</v>
      </c>
      <c r="J53" s="46">
        <f>'Analiza nakupa'!$D$14</f>
        <v>0</v>
      </c>
      <c r="K53" s="46">
        <f>'Analiza nakupa'!$D$14</f>
        <v>0</v>
      </c>
      <c r="L53" s="46">
        <f>'Analiza nakupa'!$D$14</f>
        <v>0</v>
      </c>
      <c r="M53" s="48">
        <f>'Analiza nakupa'!$D$14</f>
        <v>0</v>
      </c>
      <c r="N53" s="47">
        <f>Izračuni!C78</f>
        <v>0</v>
      </c>
      <c r="O53" s="35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</row>
    <row r="54" spans="1:68" s="37" customFormat="1" hidden="1" x14ac:dyDescent="0.3">
      <c r="A54" s="60"/>
      <c r="B54" s="45" t="s">
        <v>7</v>
      </c>
      <c r="C54" s="46">
        <f>Izračuni!$C$9</f>
        <v>0</v>
      </c>
      <c r="D54" s="46">
        <f>Izračuni!$C$9</f>
        <v>0</v>
      </c>
      <c r="E54" s="46">
        <f>Izračuni!$C$9</f>
        <v>0</v>
      </c>
      <c r="F54" s="46">
        <f>Izračuni!$C$9</f>
        <v>0</v>
      </c>
      <c r="G54" s="46">
        <f>Izračuni!$C$9</f>
        <v>0</v>
      </c>
      <c r="H54" s="46">
        <f>Izračuni!$C$9</f>
        <v>0</v>
      </c>
      <c r="I54" s="46">
        <f>Izračuni!$C$9</f>
        <v>0</v>
      </c>
      <c r="J54" s="46">
        <f>Izračuni!$C$9</f>
        <v>0</v>
      </c>
      <c r="K54" s="46">
        <f>Izračuni!$C$9</f>
        <v>0</v>
      </c>
      <c r="L54" s="46">
        <f>Izračuni!$C$9</f>
        <v>0</v>
      </c>
      <c r="M54" s="46">
        <f>Izračuni!$C$9</f>
        <v>0</v>
      </c>
      <c r="N54" s="46">
        <f>Izračuni!$C$9</f>
        <v>0</v>
      </c>
      <c r="O54" s="35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</row>
    <row r="55" spans="1:68" s="37" customFormat="1" hidden="1" x14ac:dyDescent="0.3">
      <c r="A55" s="60"/>
      <c r="B55" s="45" t="s">
        <v>8</v>
      </c>
      <c r="C55" s="46" t="e">
        <f t="shared" ref="C55:M55" si="6">SUM(C52:C54)</f>
        <v>#N/A</v>
      </c>
      <c r="D55" s="46" t="e">
        <f t="shared" si="6"/>
        <v>#N/A</v>
      </c>
      <c r="E55" s="46" t="e">
        <f t="shared" si="6"/>
        <v>#N/A</v>
      </c>
      <c r="F55" s="46" t="e">
        <f t="shared" si="6"/>
        <v>#N/A</v>
      </c>
      <c r="G55" s="46" t="e">
        <f>SUM(G52:G54)</f>
        <v>#N/A</v>
      </c>
      <c r="H55" s="46" t="e">
        <f t="shared" si="6"/>
        <v>#N/A</v>
      </c>
      <c r="I55" s="46" t="e">
        <f t="shared" si="6"/>
        <v>#N/A</v>
      </c>
      <c r="J55" s="46" t="e">
        <f t="shared" si="6"/>
        <v>#N/A</v>
      </c>
      <c r="K55" s="46" t="e">
        <f t="shared" si="6"/>
        <v>#N/A</v>
      </c>
      <c r="L55" s="46" t="e">
        <f t="shared" si="6"/>
        <v>#N/A</v>
      </c>
      <c r="M55" s="46" t="e">
        <f t="shared" si="6"/>
        <v>#N/A</v>
      </c>
      <c r="N55" s="47">
        <f>Izračuni!C80</f>
        <v>0</v>
      </c>
      <c r="O55" s="35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</row>
    <row r="56" spans="1:68" x14ac:dyDescent="0.3">
      <c r="A56" s="226"/>
      <c r="B56" s="45" t="s">
        <v>11</v>
      </c>
      <c r="C56" s="46">
        <f>'Analiza nakupa'!$D$8</f>
        <v>0</v>
      </c>
      <c r="D56" s="46">
        <f>'Analiza nakupa'!$D$8</f>
        <v>0</v>
      </c>
      <c r="E56" s="46">
        <f>'Analiza nakupa'!$D$8</f>
        <v>0</v>
      </c>
      <c r="F56" s="46">
        <f>'Analiza nakupa'!$D$8</f>
        <v>0</v>
      </c>
      <c r="G56" s="46">
        <f>'Analiza nakupa'!$D$8</f>
        <v>0</v>
      </c>
      <c r="H56" s="46">
        <f>'Analiza nakupa'!$D$8</f>
        <v>0</v>
      </c>
      <c r="I56" s="46">
        <f>'Analiza nakupa'!$D$8</f>
        <v>0</v>
      </c>
      <c r="J56" s="46">
        <f>'Analiza nakupa'!$D$8</f>
        <v>0</v>
      </c>
      <c r="K56" s="46">
        <f>'Analiza nakupa'!$D$8</f>
        <v>0</v>
      </c>
      <c r="L56" s="46">
        <f>'Analiza nakupa'!$D$8</f>
        <v>0</v>
      </c>
      <c r="M56" s="46">
        <f>'Analiza nakupa'!$D$8</f>
        <v>0</v>
      </c>
      <c r="N56" s="47">
        <f>'Analiza nakupa'!$D$8</f>
        <v>0</v>
      </c>
      <c r="O56" s="35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</row>
    <row r="57" spans="1:68" x14ac:dyDescent="0.3">
      <c r="A57" s="226"/>
      <c r="B57" s="45" t="s">
        <v>73</v>
      </c>
      <c r="C57" s="46" t="str">
        <f>IF(C$49="ni podatka","ni podatka",C55/C51)</f>
        <v>ni podatka</v>
      </c>
      <c r="D57" s="46" t="str">
        <f t="shared" ref="D57:M57" si="7">IF(D$49="ni podatka","ni podatka",D55/D51)</f>
        <v>ni podatka</v>
      </c>
      <c r="E57" s="46" t="str">
        <f t="shared" si="7"/>
        <v>ni podatka</v>
      </c>
      <c r="F57" s="46" t="str">
        <f t="shared" si="7"/>
        <v>ni podatka</v>
      </c>
      <c r="G57" s="46" t="str">
        <f>IF(G$49="ni podatka","ni podatka",G55/G51)</f>
        <v>ni podatka</v>
      </c>
      <c r="H57" s="46" t="str">
        <f t="shared" si="7"/>
        <v>ni podatka</v>
      </c>
      <c r="I57" s="46" t="str">
        <f t="shared" si="7"/>
        <v>ni podatka</v>
      </c>
      <c r="J57" s="46" t="str">
        <f t="shared" si="7"/>
        <v>ni podatka</v>
      </c>
      <c r="K57" s="46" t="str">
        <f t="shared" si="7"/>
        <v>ni podatka</v>
      </c>
      <c r="L57" s="46" t="str">
        <f t="shared" si="7"/>
        <v>ni podatka</v>
      </c>
      <c r="M57" s="46" t="str">
        <f t="shared" si="7"/>
        <v>ni podatka</v>
      </c>
      <c r="N57" s="47">
        <f>N56-N58</f>
        <v>0</v>
      </c>
      <c r="O57" s="35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s="53" customFormat="1" x14ac:dyDescent="0.3">
      <c r="A58" s="226"/>
      <c r="B58" s="44" t="s">
        <v>12</v>
      </c>
      <c r="C58" s="50" t="str">
        <f t="shared" ref="C58:M58" si="8">IF(C$49="ni podatka","ni podatka",C56-C57)</f>
        <v>ni podatka</v>
      </c>
      <c r="D58" s="50" t="str">
        <f t="shared" si="8"/>
        <v>ni podatka</v>
      </c>
      <c r="E58" s="50" t="str">
        <f t="shared" si="8"/>
        <v>ni podatka</v>
      </c>
      <c r="F58" s="50" t="str">
        <f t="shared" si="8"/>
        <v>ni podatka</v>
      </c>
      <c r="G58" s="50" t="str">
        <f>IF(G$49="ni podatka","ni podatka",G56-G57)</f>
        <v>ni podatka</v>
      </c>
      <c r="H58" s="50" t="str">
        <f t="shared" si="8"/>
        <v>ni podatka</v>
      </c>
      <c r="I58" s="50" t="str">
        <f t="shared" si="8"/>
        <v>ni podatka</v>
      </c>
      <c r="J58" s="50" t="str">
        <f t="shared" si="8"/>
        <v>ni podatka</v>
      </c>
      <c r="K58" s="50" t="str">
        <f t="shared" si="8"/>
        <v>ni podatka</v>
      </c>
      <c r="L58" s="50" t="str">
        <f t="shared" si="8"/>
        <v>ni podatka</v>
      </c>
      <c r="M58" s="77" t="str">
        <f t="shared" si="8"/>
        <v>ni podatka</v>
      </c>
      <c r="N58" s="50">
        <v>0</v>
      </c>
      <c r="O58" s="35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</row>
    <row r="59" spans="1:68" s="53" customFormat="1" x14ac:dyDescent="0.3">
      <c r="A59" s="60"/>
      <c r="B59" s="64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35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</row>
    <row r="60" spans="1:68" s="53" customFormat="1" ht="15" thickBot="1" x14ac:dyDescent="0.35">
      <c r="A60" s="60"/>
      <c r="B60" s="56" t="s">
        <v>77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70" t="s">
        <v>71</v>
      </c>
      <c r="O60" s="35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</row>
    <row r="61" spans="1:68" s="53" customFormat="1" x14ac:dyDescent="0.3">
      <c r="A61" s="60"/>
      <c r="B61" s="78" t="s">
        <v>75</v>
      </c>
      <c r="C61" s="43" t="str">
        <f>IF(OR('Analiza nakupa'!B$67=0,'Analiza nakupa'!B$67=""),"ni podatka",'Analiza nakupa'!B$67)</f>
        <v>ni podatka</v>
      </c>
      <c r="D61" s="43" t="str">
        <f>IF(OR('Analiza nakupa'!B$68=0,'Analiza nakupa'!B$68=""),"ni podatka",'Analiza nakupa'!B$68)</f>
        <v>ni podatka</v>
      </c>
      <c r="E61" s="43" t="str">
        <f>IF(OR('Analiza nakupa'!B$69=0,'Analiza nakupa'!B$69=""),"ni podatka",'Analiza nakupa'!B$69)</f>
        <v>ni podatka</v>
      </c>
      <c r="F61" s="43" t="str">
        <f>IF(OR('Analiza nakupa'!B$70=0,'Analiza nakupa'!B$70=""),"ni podatka",'Analiza nakupa'!B$70)</f>
        <v>ni podatka</v>
      </c>
      <c r="G61" s="43" t="str">
        <f>IF(OR('Analiza nakupa'!B$71=0,'Analiza nakupa'!B$71=""),"ni podatka",'Analiza nakupa'!B$71)</f>
        <v>ni podatka</v>
      </c>
      <c r="H61" s="43" t="str">
        <f>IF(OR('Analiza nakupa'!B$72=0,'Analiza nakupa'!B$72=""),"ni podatka",'Analiza nakupa'!B$72)</f>
        <v>ni podatka</v>
      </c>
      <c r="I61" s="43" t="str">
        <f>IF(OR('Analiza nakupa'!B$73=0,'Analiza nakupa'!B$73=""),"ni podatka",'Analiza nakupa'!B$73)</f>
        <v>ni podatka</v>
      </c>
      <c r="J61" s="43" t="str">
        <f>IF(OR('Analiza nakupa'!B$74=0,'Analiza nakupa'!B$74=""),"ni podatka",'Analiza nakupa'!B$74)</f>
        <v>ni podatka</v>
      </c>
      <c r="K61" s="43" t="str">
        <f>IF(OR('Analiza nakupa'!B$75=0,'Analiza nakupa'!B$75=""),"ni podatka",'Analiza nakupa'!B$75)</f>
        <v>ni podatka</v>
      </c>
      <c r="L61" s="43" t="str">
        <f>IF(OR('Analiza nakupa'!B$76=0,'Analiza nakupa'!B$76=""),"ni podatka",'Analiza nakupa'!B$76)</f>
        <v>ni podatka</v>
      </c>
      <c r="M61" s="74" t="str">
        <f>IF(OR('Analiza nakupa'!B$77=0,'Analiza nakupa'!B$77=""),"ni podatka",'Analiza nakupa'!B$77)</f>
        <v>ni podatka</v>
      </c>
      <c r="N61" s="71" t="s">
        <v>30</v>
      </c>
      <c r="O61" s="35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</row>
    <row r="62" spans="1:68" s="53" customFormat="1" hidden="1" x14ac:dyDescent="0.3">
      <c r="A62" s="60"/>
      <c r="B62" s="78" t="s">
        <v>75</v>
      </c>
      <c r="C62" s="43" t="e">
        <f>IF(OR('Analiza nakupa'!B$67=0,'Analiza nakupa'!B$67=""),NA(),'Analiza nakupa'!B$67)</f>
        <v>#N/A</v>
      </c>
      <c r="D62" s="43" t="e">
        <f>IF(OR('Analiza nakupa'!B$68=0,'Analiza nakupa'!B$68=""),NA(),'Analiza nakupa'!B$68)</f>
        <v>#N/A</v>
      </c>
      <c r="E62" s="43" t="e">
        <f>IF(OR('Analiza nakupa'!B$69=0,'Analiza nakupa'!B$69=""),NA(),'Analiza nakupa'!B$69)</f>
        <v>#N/A</v>
      </c>
      <c r="F62" s="43" t="e">
        <f>IF(OR('Analiza nakupa'!B$70=0,'Analiza nakupa'!B$70=""),NA(),'Analiza nakupa'!B$70)</f>
        <v>#N/A</v>
      </c>
      <c r="G62" s="43" t="e">
        <f>IF(OR('Analiza nakupa'!B$71=0,'Analiza nakupa'!B$71=""),NA(),'Analiza nakupa'!B$71)</f>
        <v>#N/A</v>
      </c>
      <c r="H62" s="43" t="e">
        <f>IF(OR('Analiza nakupa'!B$72=0,'Analiza nakupa'!B$72=""),NA(),'Analiza nakupa'!B$72)</f>
        <v>#N/A</v>
      </c>
      <c r="I62" s="43" t="e">
        <f>IF(OR('Analiza nakupa'!B$73=0,'Analiza nakupa'!B$73=""),NA(),'Analiza nakupa'!B$73)</f>
        <v>#N/A</v>
      </c>
      <c r="J62" s="43" t="e">
        <f>IF(OR('Analiza nakupa'!B$74=0,'Analiza nakupa'!B$74=""),NA(),'Analiza nakupa'!B$74)</f>
        <v>#N/A</v>
      </c>
      <c r="K62" s="43" t="e">
        <f>IF(OR('Analiza nakupa'!B$75=0,'Analiza nakupa'!B$75=""),NA(),'Analiza nakupa'!B$75)</f>
        <v>#N/A</v>
      </c>
      <c r="L62" s="43" t="e">
        <f>IF(OR('Analiza nakupa'!B$76=0,'Analiza nakupa'!B$76=""),NA(),'Analiza nakupa'!B$76)</f>
        <v>#N/A</v>
      </c>
      <c r="M62" s="74" t="e">
        <f>IF(OR('Analiza nakupa'!B$77=0,'Analiza nakupa'!B$77=""),NA(),'Analiza nakupa'!B$77)</f>
        <v>#N/A</v>
      </c>
      <c r="N62" s="71" t="s">
        <v>30</v>
      </c>
      <c r="O62" s="35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</row>
    <row r="63" spans="1:68" s="53" customFormat="1" x14ac:dyDescent="0.3">
      <c r="A63" s="60"/>
      <c r="B63" s="44" t="s">
        <v>61</v>
      </c>
      <c r="C63" s="43">
        <f>'Analiza nakupa'!$D$7</f>
        <v>0</v>
      </c>
      <c r="D63" s="43">
        <f>'Analiza nakupa'!$D$7</f>
        <v>0</v>
      </c>
      <c r="E63" s="43">
        <f>'Analiza nakupa'!$D$7</f>
        <v>0</v>
      </c>
      <c r="F63" s="43">
        <f>'Analiza nakupa'!$D$7</f>
        <v>0</v>
      </c>
      <c r="G63" s="43">
        <f>'Analiza nakupa'!$D$7</f>
        <v>0</v>
      </c>
      <c r="H63" s="43">
        <f>'Analiza nakupa'!$D$7</f>
        <v>0</v>
      </c>
      <c r="I63" s="43">
        <f>'Analiza nakupa'!$D$7</f>
        <v>0</v>
      </c>
      <c r="J63" s="43">
        <f>'Analiza nakupa'!$D$7</f>
        <v>0</v>
      </c>
      <c r="K63" s="43">
        <f>'Analiza nakupa'!$D$7</f>
        <v>0</v>
      </c>
      <c r="L63" s="43">
        <f>'Analiza nakupa'!$D$7</f>
        <v>0</v>
      </c>
      <c r="M63" s="74">
        <f>'Analiza nakupa'!$D$7</f>
        <v>0</v>
      </c>
      <c r="N63" s="72">
        <f>'Analiza nakupa'!$D$7</f>
        <v>0</v>
      </c>
      <c r="O63" s="35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</row>
    <row r="64" spans="1:68" s="53" customFormat="1" hidden="1" x14ac:dyDescent="0.3">
      <c r="A64" s="60"/>
      <c r="B64" s="228" t="s">
        <v>5</v>
      </c>
      <c r="C64" s="66">
        <f>Izračuni!$H$7</f>
        <v>0</v>
      </c>
      <c r="D64" s="66">
        <f>Izračuni!$H$7</f>
        <v>0</v>
      </c>
      <c r="E64" s="66">
        <f>Izračuni!$H$7</f>
        <v>0</v>
      </c>
      <c r="F64" s="66">
        <f>Izračuni!$H$7</f>
        <v>0</v>
      </c>
      <c r="G64" s="66">
        <f>Izračuni!$H$7</f>
        <v>0</v>
      </c>
      <c r="H64" s="66">
        <f>Izračuni!$H$7</f>
        <v>0</v>
      </c>
      <c r="I64" s="66">
        <f>Izračuni!$H$7</f>
        <v>0</v>
      </c>
      <c r="J64" s="66">
        <f>Izračuni!$H$7</f>
        <v>0</v>
      </c>
      <c r="K64" s="66">
        <f>Izračuni!$H$7</f>
        <v>0</v>
      </c>
      <c r="L64" s="66">
        <f>Izračuni!$H$7</f>
        <v>0</v>
      </c>
      <c r="M64" s="75">
        <f>Izračuni!$H$7</f>
        <v>0</v>
      </c>
      <c r="N64" s="73">
        <f>Izračuni!$H$7</f>
        <v>0</v>
      </c>
      <c r="O64" s="35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</row>
    <row r="65" spans="1:68" s="53" customFormat="1" hidden="1" x14ac:dyDescent="0.3">
      <c r="A65" s="60"/>
      <c r="B65" s="45" t="s">
        <v>6</v>
      </c>
      <c r="C65" s="66">
        <f>Izračuni!$H$8</f>
        <v>0</v>
      </c>
      <c r="D65" s="66">
        <f>Izračuni!$H$8</f>
        <v>0</v>
      </c>
      <c r="E65" s="66">
        <f>Izračuni!$H$8</f>
        <v>0</v>
      </c>
      <c r="F65" s="66">
        <f>Izračuni!$H$8</f>
        <v>0</v>
      </c>
      <c r="G65" s="66">
        <f>Izračuni!$H$8</f>
        <v>0</v>
      </c>
      <c r="H65" s="66">
        <f>Izračuni!$H$8</f>
        <v>0</v>
      </c>
      <c r="I65" s="66">
        <f>Izračuni!$H$8</f>
        <v>0</v>
      </c>
      <c r="J65" s="66">
        <f>Izračuni!$H$8</f>
        <v>0</v>
      </c>
      <c r="K65" s="66">
        <f>Izračuni!$H$8</f>
        <v>0</v>
      </c>
      <c r="L65" s="66">
        <f>Izračuni!$H$8</f>
        <v>0</v>
      </c>
      <c r="M65" s="75">
        <f>Izračuni!$H$8</f>
        <v>0</v>
      </c>
      <c r="N65" s="73">
        <f>Izračuni!$H$8</f>
        <v>0</v>
      </c>
      <c r="O65" s="35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</row>
    <row r="66" spans="1:68" s="53" customFormat="1" hidden="1" x14ac:dyDescent="0.3">
      <c r="A66" s="60"/>
      <c r="B66" s="45" t="s">
        <v>7</v>
      </c>
      <c r="C66" s="66">
        <f>Izračuni!$H$9</f>
        <v>0</v>
      </c>
      <c r="D66" s="66">
        <f>Izračuni!$H$9</f>
        <v>0</v>
      </c>
      <c r="E66" s="66">
        <f>Izračuni!$H$9</f>
        <v>0</v>
      </c>
      <c r="F66" s="66">
        <f>Izračuni!$H$9</f>
        <v>0</v>
      </c>
      <c r="G66" s="66">
        <f>Izračuni!$H$9</f>
        <v>0</v>
      </c>
      <c r="H66" s="66">
        <f>Izračuni!$H$9</f>
        <v>0</v>
      </c>
      <c r="I66" s="66">
        <f>Izračuni!$H$9</f>
        <v>0</v>
      </c>
      <c r="J66" s="66">
        <f>Izračuni!$H$9</f>
        <v>0</v>
      </c>
      <c r="K66" s="66">
        <f>Izračuni!$H$9</f>
        <v>0</v>
      </c>
      <c r="L66" s="66">
        <f>Izračuni!$H$9</f>
        <v>0</v>
      </c>
      <c r="M66" s="75">
        <f>Izračuni!$H$9</f>
        <v>0</v>
      </c>
      <c r="N66" s="73">
        <f>Izračuni!$H$9</f>
        <v>0</v>
      </c>
      <c r="O66" s="35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</row>
    <row r="67" spans="1:68" s="53" customFormat="1" hidden="1" x14ac:dyDescent="0.3">
      <c r="A67" s="60"/>
      <c r="B67" s="228" t="s">
        <v>8</v>
      </c>
      <c r="C67" s="65">
        <f>SUM(C64:C66)</f>
        <v>0</v>
      </c>
      <c r="D67" s="65">
        <f t="shared" ref="D67:L67" si="9">SUM(D64:D66)</f>
        <v>0</v>
      </c>
      <c r="E67" s="65">
        <f t="shared" si="9"/>
        <v>0</v>
      </c>
      <c r="F67" s="65">
        <f t="shared" si="9"/>
        <v>0</v>
      </c>
      <c r="G67" s="65">
        <f t="shared" si="9"/>
        <v>0</v>
      </c>
      <c r="H67" s="65">
        <f t="shared" si="9"/>
        <v>0</v>
      </c>
      <c r="I67" s="65">
        <f t="shared" si="9"/>
        <v>0</v>
      </c>
      <c r="J67" s="65">
        <f t="shared" si="9"/>
        <v>0</v>
      </c>
      <c r="K67" s="65">
        <f t="shared" si="9"/>
        <v>0</v>
      </c>
      <c r="L67" s="65">
        <f t="shared" si="9"/>
        <v>0</v>
      </c>
      <c r="M67" s="75">
        <f>SUM(M64:M66)</f>
        <v>0</v>
      </c>
      <c r="N67" s="73">
        <f>SUM(N64:N66)</f>
        <v>0</v>
      </c>
      <c r="O67" s="35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</row>
    <row r="68" spans="1:68" s="53" customFormat="1" x14ac:dyDescent="0.3">
      <c r="A68" s="226"/>
      <c r="B68" s="45" t="s">
        <v>11</v>
      </c>
      <c r="C68" s="46">
        <f>'Analiza nakupa'!$D$8</f>
        <v>0</v>
      </c>
      <c r="D68" s="46">
        <f>'Analiza nakupa'!$D$8</f>
        <v>0</v>
      </c>
      <c r="E68" s="46">
        <f>'Analiza nakupa'!$D$8</f>
        <v>0</v>
      </c>
      <c r="F68" s="46">
        <f>'Analiza nakupa'!$D$8</f>
        <v>0</v>
      </c>
      <c r="G68" s="46">
        <f>'Analiza nakupa'!$D$8</f>
        <v>0</v>
      </c>
      <c r="H68" s="46">
        <f>'Analiza nakupa'!$D$8</f>
        <v>0</v>
      </c>
      <c r="I68" s="46">
        <f>'Analiza nakupa'!$D$8</f>
        <v>0</v>
      </c>
      <c r="J68" s="46">
        <f>'Analiza nakupa'!$D$8</f>
        <v>0</v>
      </c>
      <c r="K68" s="46">
        <f>'Analiza nakupa'!$D$8</f>
        <v>0</v>
      </c>
      <c r="L68" s="46">
        <f>'Analiza nakupa'!$D$8</f>
        <v>0</v>
      </c>
      <c r="M68" s="76">
        <f>'Analiza nakupa'!$D$8</f>
        <v>0</v>
      </c>
      <c r="N68" s="80" t="s">
        <v>30</v>
      </c>
      <c r="O68" s="35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</row>
    <row r="69" spans="1:68" s="53" customFormat="1" x14ac:dyDescent="0.3">
      <c r="A69" s="226"/>
      <c r="B69" s="45" t="s">
        <v>73</v>
      </c>
      <c r="C69" s="46" t="str">
        <f>IFERROR(C67/C63,"ni podatka")</f>
        <v>ni podatka</v>
      </c>
      <c r="D69" s="46" t="str">
        <f t="shared" ref="D69:M69" si="10">IFERROR(D67/D63,"ni podatka")</f>
        <v>ni podatka</v>
      </c>
      <c r="E69" s="46" t="str">
        <f t="shared" si="10"/>
        <v>ni podatka</v>
      </c>
      <c r="F69" s="46" t="str">
        <f t="shared" si="10"/>
        <v>ni podatka</v>
      </c>
      <c r="G69" s="46" t="str">
        <f t="shared" si="10"/>
        <v>ni podatka</v>
      </c>
      <c r="H69" s="46" t="str">
        <f t="shared" si="10"/>
        <v>ni podatka</v>
      </c>
      <c r="I69" s="46" t="str">
        <f t="shared" si="10"/>
        <v>ni podatka</v>
      </c>
      <c r="J69" s="46" t="str">
        <f t="shared" si="10"/>
        <v>ni podatka</v>
      </c>
      <c r="K69" s="46" t="str">
        <f t="shared" si="10"/>
        <v>ni podatka</v>
      </c>
      <c r="L69" s="46" t="str">
        <f t="shared" si="10"/>
        <v>ni podatka</v>
      </c>
      <c r="M69" s="46" t="str">
        <f t="shared" si="10"/>
        <v>ni podatka</v>
      </c>
      <c r="N69" s="47" t="s">
        <v>30</v>
      </c>
      <c r="O69" s="35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</row>
    <row r="70" spans="1:68" s="53" customFormat="1" x14ac:dyDescent="0.3">
      <c r="A70" s="226"/>
      <c r="B70" s="44" t="s">
        <v>12</v>
      </c>
      <c r="C70" s="50" t="str">
        <f>IFERROR(C68-C69,"ni podatka")</f>
        <v>ni podatka</v>
      </c>
      <c r="D70" s="50" t="str">
        <f t="shared" ref="D70:M70" si="11">IFERROR(D68-D69,"ni podatka")</f>
        <v>ni podatka</v>
      </c>
      <c r="E70" s="50" t="str">
        <f t="shared" si="11"/>
        <v>ni podatka</v>
      </c>
      <c r="F70" s="50" t="str">
        <f t="shared" si="11"/>
        <v>ni podatka</v>
      </c>
      <c r="G70" s="50" t="str">
        <f t="shared" si="11"/>
        <v>ni podatka</v>
      </c>
      <c r="H70" s="50" t="str">
        <f t="shared" si="11"/>
        <v>ni podatka</v>
      </c>
      <c r="I70" s="50" t="str">
        <f t="shared" si="11"/>
        <v>ni podatka</v>
      </c>
      <c r="J70" s="50" t="str">
        <f t="shared" si="11"/>
        <v>ni podatka</v>
      </c>
      <c r="K70" s="50" t="str">
        <f t="shared" si="11"/>
        <v>ni podatka</v>
      </c>
      <c r="L70" s="50" t="str">
        <f t="shared" si="11"/>
        <v>ni podatka</v>
      </c>
      <c r="M70" s="77" t="str">
        <f t="shared" si="11"/>
        <v>ni podatka</v>
      </c>
      <c r="N70" s="81" t="s">
        <v>30</v>
      </c>
      <c r="O70" s="35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</row>
    <row r="71" spans="1:68" s="53" customFormat="1" x14ac:dyDescent="0.3">
      <c r="A71" s="226"/>
      <c r="B71" s="58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35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</row>
    <row r="72" spans="1:68" x14ac:dyDescent="0.3">
      <c r="A72" s="60"/>
      <c r="B72" s="58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35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</row>
    <row r="73" spans="1:68" x14ac:dyDescent="0.3">
      <c r="A73" s="60"/>
      <c r="B73" s="58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35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</row>
    <row r="74" spans="1:68" x14ac:dyDescent="0.3">
      <c r="A74" s="60"/>
      <c r="B74" s="58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35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</row>
    <row r="75" spans="1:68" x14ac:dyDescent="0.3">
      <c r="A75" s="60"/>
      <c r="B75" s="58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35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</row>
    <row r="76" spans="1:68" x14ac:dyDescent="0.3">
      <c r="A76" s="60"/>
      <c r="B76" s="58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35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</row>
    <row r="77" spans="1:68" x14ac:dyDescent="0.3">
      <c r="A77" s="60"/>
      <c r="B77" s="58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35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</row>
    <row r="78" spans="1:68" x14ac:dyDescent="0.3">
      <c r="A78" s="60"/>
      <c r="B78" s="58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35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</row>
    <row r="79" spans="1:68" x14ac:dyDescent="0.3">
      <c r="A79" s="60"/>
      <c r="B79" s="58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35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</row>
    <row r="80" spans="1:68" x14ac:dyDescent="0.3">
      <c r="A80" s="60"/>
      <c r="B80" s="58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35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</row>
    <row r="81" spans="1:68" x14ac:dyDescent="0.3">
      <c r="A81" s="60"/>
      <c r="B81" s="58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35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</row>
    <row r="82" spans="1:68" x14ac:dyDescent="0.3">
      <c r="A82" s="60"/>
      <c r="B82" s="58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35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</row>
    <row r="83" spans="1:68" x14ac:dyDescent="0.3">
      <c r="A83" s="60"/>
      <c r="B83" s="58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35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</row>
    <row r="84" spans="1:68" x14ac:dyDescent="0.3">
      <c r="A84" s="60"/>
      <c r="B84" s="58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35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</row>
    <row r="85" spans="1:68" x14ac:dyDescent="0.3">
      <c r="A85" s="60"/>
      <c r="B85" s="58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35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</row>
    <row r="86" spans="1:68" x14ac:dyDescent="0.3">
      <c r="A86" s="60"/>
      <c r="B86" s="58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35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</row>
    <row r="87" spans="1:68" x14ac:dyDescent="0.3">
      <c r="A87" s="60"/>
      <c r="B87" s="58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35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</row>
    <row r="88" spans="1:68" x14ac:dyDescent="0.3">
      <c r="A88" s="60"/>
      <c r="B88" s="58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35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</row>
    <row r="89" spans="1:68" x14ac:dyDescent="0.3">
      <c r="A89" s="60"/>
      <c r="B89" s="58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35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</row>
    <row r="90" spans="1:68" x14ac:dyDescent="0.3">
      <c r="A90" s="60"/>
      <c r="B90" s="58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35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</row>
    <row r="91" spans="1:68" x14ac:dyDescent="0.3">
      <c r="A91" s="60"/>
      <c r="B91" s="58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35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</row>
    <row r="92" spans="1:68" x14ac:dyDescent="0.3">
      <c r="A92" s="60"/>
      <c r="B92" s="5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</row>
    <row r="93" spans="1:68" x14ac:dyDescent="0.3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</row>
    <row r="94" spans="1:68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</row>
    <row r="95" spans="1:68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</row>
    <row r="96" spans="1:68" x14ac:dyDescent="0.3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</row>
    <row r="97" spans="1:68" x14ac:dyDescent="0.3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</row>
    <row r="98" spans="1:68" x14ac:dyDescent="0.3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</row>
    <row r="99" spans="1:68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</row>
    <row r="100" spans="1:68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</row>
    <row r="101" spans="1:68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</row>
    <row r="102" spans="1:68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</row>
    <row r="103" spans="1:68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</row>
    <row r="104" spans="1:68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</row>
    <row r="105" spans="1:68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</row>
    <row r="106" spans="1:68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</row>
    <row r="107" spans="1:68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</row>
    <row r="108" spans="1:68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</row>
    <row r="109" spans="1:68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</row>
    <row r="110" spans="1:68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</row>
    <row r="111" spans="1:68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</row>
    <row r="112" spans="1:68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</row>
    <row r="113" spans="1:68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</row>
    <row r="114" spans="1:68" x14ac:dyDescent="0.3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</row>
    <row r="115" spans="1:68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</row>
    <row r="116" spans="1:68" x14ac:dyDescent="0.3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</row>
    <row r="117" spans="1:68" x14ac:dyDescent="0.3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</row>
    <row r="118" spans="1:68" x14ac:dyDescent="0.3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</row>
    <row r="119" spans="1:68" x14ac:dyDescent="0.3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</row>
    <row r="120" spans="1:68" x14ac:dyDescent="0.3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</row>
    <row r="121" spans="1:68" x14ac:dyDescent="0.3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</row>
    <row r="122" spans="1:68" x14ac:dyDescent="0.3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</row>
    <row r="123" spans="1:68" x14ac:dyDescent="0.3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</row>
    <row r="124" spans="1:68" x14ac:dyDescent="0.3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</row>
    <row r="125" spans="1:68" x14ac:dyDescent="0.3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</row>
    <row r="126" spans="1:68" x14ac:dyDescent="0.3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</row>
    <row r="127" spans="1:68" x14ac:dyDescent="0.3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</row>
    <row r="128" spans="1:68" x14ac:dyDescent="0.3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</row>
    <row r="129" spans="1:68" x14ac:dyDescent="0.3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</row>
    <row r="130" spans="1:68" x14ac:dyDescent="0.3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</row>
    <row r="131" spans="1:68" x14ac:dyDescent="0.3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</row>
    <row r="132" spans="1:68" x14ac:dyDescent="0.3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</row>
    <row r="133" spans="1:68" x14ac:dyDescent="0.3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</row>
    <row r="134" spans="1:68" x14ac:dyDescent="0.3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</row>
    <row r="135" spans="1:68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</row>
    <row r="136" spans="1:68" x14ac:dyDescent="0.3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</row>
    <row r="137" spans="1:68" x14ac:dyDescent="0.3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</row>
    <row r="138" spans="1:68" x14ac:dyDescent="0.3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</row>
    <row r="139" spans="1:68" x14ac:dyDescent="0.3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</row>
    <row r="140" spans="1:68" x14ac:dyDescent="0.3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</row>
    <row r="141" spans="1:68" x14ac:dyDescent="0.3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</row>
    <row r="142" spans="1:68" x14ac:dyDescent="0.3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</row>
    <row r="143" spans="1:68" x14ac:dyDescent="0.3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</row>
    <row r="144" spans="1:68" x14ac:dyDescent="0.3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</row>
    <row r="145" spans="1:68" x14ac:dyDescent="0.3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</row>
    <row r="146" spans="1:68" x14ac:dyDescent="0.3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</row>
    <row r="147" spans="1:68" x14ac:dyDescent="0.3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</row>
    <row r="148" spans="1:68" x14ac:dyDescent="0.3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</row>
    <row r="149" spans="1:68" x14ac:dyDescent="0.3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</row>
    <row r="150" spans="1:68" x14ac:dyDescent="0.3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</row>
    <row r="151" spans="1:68" x14ac:dyDescent="0.3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</row>
    <row r="152" spans="1:68" x14ac:dyDescent="0.3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</row>
    <row r="153" spans="1:68" x14ac:dyDescent="0.3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</row>
    <row r="154" spans="1:68" x14ac:dyDescent="0.3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</row>
    <row r="155" spans="1:68" x14ac:dyDescent="0.3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</row>
    <row r="156" spans="1:68" x14ac:dyDescent="0.3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</row>
    <row r="157" spans="1:68" x14ac:dyDescent="0.3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</row>
    <row r="158" spans="1:68" x14ac:dyDescent="0.3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</row>
    <row r="159" spans="1:68" x14ac:dyDescent="0.3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</row>
    <row r="160" spans="1:68" x14ac:dyDescent="0.3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</row>
    <row r="161" spans="1:68" x14ac:dyDescent="0.3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</row>
    <row r="162" spans="1:68" x14ac:dyDescent="0.3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</row>
    <row r="163" spans="1:68" x14ac:dyDescent="0.3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</row>
    <row r="164" spans="1:68" x14ac:dyDescent="0.3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</row>
    <row r="165" spans="1:68" x14ac:dyDescent="0.3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</row>
    <row r="166" spans="1:68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</row>
    <row r="167" spans="1:68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</row>
    <row r="168" spans="1:68" x14ac:dyDescent="0.3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</row>
    <row r="169" spans="1:68" x14ac:dyDescent="0.3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</row>
    <row r="170" spans="1:68" x14ac:dyDescent="0.3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</row>
    <row r="171" spans="1:68" x14ac:dyDescent="0.3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</row>
    <row r="172" spans="1:68" x14ac:dyDescent="0.3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</row>
    <row r="173" spans="1:68" x14ac:dyDescent="0.3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</row>
    <row r="174" spans="1:68" x14ac:dyDescent="0.3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</row>
    <row r="175" spans="1:68" x14ac:dyDescent="0.3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</row>
    <row r="176" spans="1:68" x14ac:dyDescent="0.3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</row>
    <row r="177" spans="1:68" x14ac:dyDescent="0.3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</row>
    <row r="178" spans="1:68" x14ac:dyDescent="0.3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</row>
    <row r="179" spans="1:68" x14ac:dyDescent="0.3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</row>
    <row r="180" spans="1:68" x14ac:dyDescent="0.3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</row>
    <row r="181" spans="1:68" x14ac:dyDescent="0.3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</row>
    <row r="182" spans="1:68" x14ac:dyDescent="0.3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</row>
    <row r="183" spans="1:68" x14ac:dyDescent="0.3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</row>
    <row r="184" spans="1:68" x14ac:dyDescent="0.3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</row>
    <row r="185" spans="1:68" x14ac:dyDescent="0.3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</row>
    <row r="186" spans="1:68" x14ac:dyDescent="0.3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</row>
    <row r="187" spans="1:68" x14ac:dyDescent="0.3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</row>
    <row r="188" spans="1:68" x14ac:dyDescent="0.3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</row>
    <row r="189" spans="1:68" x14ac:dyDescent="0.3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</row>
    <row r="190" spans="1:68" x14ac:dyDescent="0.3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</row>
    <row r="191" spans="1:68" x14ac:dyDescent="0.3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</row>
    <row r="192" spans="1:68" x14ac:dyDescent="0.3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</row>
    <row r="193" spans="1:68" x14ac:dyDescent="0.3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</row>
    <row r="194" spans="1:68" x14ac:dyDescent="0.3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</row>
    <row r="195" spans="1:68" x14ac:dyDescent="0.3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</row>
    <row r="196" spans="1:68" x14ac:dyDescent="0.3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</row>
    <row r="197" spans="1:68" x14ac:dyDescent="0.3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</row>
    <row r="198" spans="1:68" x14ac:dyDescent="0.3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</row>
    <row r="199" spans="1:68" x14ac:dyDescent="0.3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</row>
    <row r="200" spans="1:68" x14ac:dyDescent="0.3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</row>
    <row r="201" spans="1:68" x14ac:dyDescent="0.3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</row>
    <row r="202" spans="1:68" x14ac:dyDescent="0.3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</row>
    <row r="203" spans="1:68" x14ac:dyDescent="0.3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</row>
    <row r="204" spans="1:68" x14ac:dyDescent="0.3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</row>
    <row r="205" spans="1:68" x14ac:dyDescent="0.3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</row>
    <row r="206" spans="1:68" x14ac:dyDescent="0.3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</row>
    <row r="207" spans="1:68" x14ac:dyDescent="0.3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</row>
    <row r="208" spans="1:68" x14ac:dyDescent="0.3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</row>
    <row r="209" spans="1:68" x14ac:dyDescent="0.3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</row>
    <row r="210" spans="1:68" x14ac:dyDescent="0.3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</row>
    <row r="211" spans="1:68" x14ac:dyDescent="0.3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</row>
    <row r="212" spans="1:68" x14ac:dyDescent="0.3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</row>
    <row r="213" spans="1:68" x14ac:dyDescent="0.3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</row>
    <row r="214" spans="1:68" x14ac:dyDescent="0.3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</row>
    <row r="215" spans="1:68" x14ac:dyDescent="0.3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</row>
    <row r="216" spans="1:68" x14ac:dyDescent="0.3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</row>
    <row r="217" spans="1:68" x14ac:dyDescent="0.3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</row>
    <row r="218" spans="1:68" x14ac:dyDescent="0.3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</row>
    <row r="219" spans="1:68" x14ac:dyDescent="0.3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</row>
    <row r="220" spans="1:68" x14ac:dyDescent="0.3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</row>
    <row r="221" spans="1:68" x14ac:dyDescent="0.3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</row>
    <row r="222" spans="1:68" x14ac:dyDescent="0.3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</row>
    <row r="223" spans="1:68" x14ac:dyDescent="0.3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</row>
    <row r="224" spans="1:68" x14ac:dyDescent="0.3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</row>
    <row r="225" spans="1:68" x14ac:dyDescent="0.3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</row>
  </sheetData>
  <sheetProtection algorithmName="SHA-512" hashValue="2ZcJWGJjL+2XZFUtNd1sEXKE/VZN1bL1h9M746VmL6LTK1gPxRx/7fHIZqUdab+4r5Ew0C2Nqt5HIisIMflbbw==" saltValue="JvXj4G8iEYvZlJFsO7O3Xw==" spinCount="100000" sheet="1" objects="1" scenarios="1"/>
  <pageMargins left="0.7" right="0.7" top="0.75" bottom="0.75" header="0.3" footer="0.3"/>
  <pageSetup paperSize="9" scale="11" fitToHeight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845CF-F06F-4B21-B369-64BAAE7FBAE1}">
  <sheetPr>
    <pageSetUpPr autoPageBreaks="0" fitToPage="1"/>
  </sheetPr>
  <dimension ref="A1:BL177"/>
  <sheetViews>
    <sheetView topLeftCell="A33" zoomScale="90" zoomScaleNormal="90" workbookViewId="0">
      <selection activeCell="N44" sqref="N44"/>
    </sheetView>
  </sheetViews>
  <sheetFormatPr defaultColWidth="9.109375" defaultRowHeight="14.4" x14ac:dyDescent="0.3"/>
  <cols>
    <col min="1" max="1" width="3" style="89" customWidth="1"/>
    <col min="2" max="2" width="30.44140625" bestFit="1" customWidth="1"/>
    <col min="3" max="13" width="11.5546875" customWidth="1"/>
    <col min="14" max="14" width="11.44140625" customWidth="1"/>
    <col min="16" max="16" width="37" bestFit="1" customWidth="1"/>
    <col min="17" max="28" width="11.44140625" bestFit="1" customWidth="1"/>
    <col min="30" max="64" width="9.109375" style="89"/>
  </cols>
  <sheetData>
    <row r="1" spans="1:64" s="89" customFormat="1" ht="15" thickBot="1" x14ac:dyDescent="0.35"/>
    <row r="2" spans="1:64" ht="15" thickBot="1" x14ac:dyDescent="0.3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64" ht="15" thickBot="1" x14ac:dyDescent="0.35">
      <c r="B3" s="114" t="s">
        <v>64</v>
      </c>
      <c r="C3" s="115">
        <v>-0.25</v>
      </c>
      <c r="D3" s="115">
        <v>-0.2</v>
      </c>
      <c r="E3" s="115">
        <v>-0.15</v>
      </c>
      <c r="F3" s="115">
        <v>-0.1</v>
      </c>
      <c r="G3" s="115">
        <v>-0.05</v>
      </c>
      <c r="H3" s="116" t="s">
        <v>65</v>
      </c>
      <c r="I3" s="116" t="s">
        <v>66</v>
      </c>
      <c r="J3" s="116" t="s">
        <v>67</v>
      </c>
      <c r="K3" s="116" t="s">
        <v>68</v>
      </c>
      <c r="L3" s="116" t="s">
        <v>69</v>
      </c>
      <c r="M3" s="116" t="s">
        <v>70</v>
      </c>
      <c r="N3" s="117" t="s">
        <v>71</v>
      </c>
      <c r="O3" s="93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64" x14ac:dyDescent="0.3">
      <c r="B4" s="118" t="s">
        <v>61</v>
      </c>
      <c r="C4" s="119" t="str">
        <f>'Analiza nakupa'!$H$49</f>
        <v/>
      </c>
      <c r="D4" s="119" t="str">
        <f>'Analiza nakupa'!$H$50</f>
        <v/>
      </c>
      <c r="E4" s="119" t="str">
        <f>'Analiza nakupa'!$H$51</f>
        <v/>
      </c>
      <c r="F4" s="119" t="str">
        <f>'Analiza nakupa'!$H$52</f>
        <v/>
      </c>
      <c r="G4" s="119" t="str">
        <f>'Analiza nakupa'!$H$53</f>
        <v/>
      </c>
      <c r="H4" s="119" t="str">
        <f>'Analiza nakupa'!$H$54</f>
        <v/>
      </c>
      <c r="I4" s="119" t="str">
        <f>'Analiza nakupa'!$H$55</f>
        <v/>
      </c>
      <c r="J4" s="119" t="str">
        <f>'Analiza nakupa'!$H$56</f>
        <v/>
      </c>
      <c r="K4" s="119" t="str">
        <f>'Analiza nakupa'!$H$57</f>
        <v/>
      </c>
      <c r="L4" s="119" t="str">
        <f>'Analiza nakupa'!$H$58</f>
        <v/>
      </c>
      <c r="M4" s="119" t="str">
        <f>'Analiza nakupa'!$H$59</f>
        <v/>
      </c>
      <c r="N4" s="120" t="str">
        <f>IFERROR(Izračuni!C30,"ni podatka")</f>
        <v>ni podatka</v>
      </c>
      <c r="O4" s="9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64" s="4" customFormat="1" x14ac:dyDescent="0.3">
      <c r="A5" s="121"/>
      <c r="B5" s="118" t="s">
        <v>75</v>
      </c>
      <c r="C5" s="119">
        <f>'Analiza nakupa'!$D$6</f>
        <v>0</v>
      </c>
      <c r="D5" s="119">
        <f>'Analiza nakupa'!$D$6</f>
        <v>0</v>
      </c>
      <c r="E5" s="119">
        <f>'Analiza nakupa'!$D$6</f>
        <v>0</v>
      </c>
      <c r="F5" s="119">
        <f>'Analiza nakupa'!$D$6</f>
        <v>0</v>
      </c>
      <c r="G5" s="119">
        <f>'Analiza nakupa'!$D$6</f>
        <v>0</v>
      </c>
      <c r="H5" s="119">
        <f>'Analiza nakupa'!$D$6</f>
        <v>0</v>
      </c>
      <c r="I5" s="119">
        <f>'Analiza nakupa'!$D$6</f>
        <v>0</v>
      </c>
      <c r="J5" s="119">
        <f>'Analiza nakupa'!$D$6</f>
        <v>0</v>
      </c>
      <c r="K5" s="119">
        <f>'Analiza nakupa'!$D$6</f>
        <v>0</v>
      </c>
      <c r="L5" s="119">
        <f>'Analiza nakupa'!$D$6</f>
        <v>0</v>
      </c>
      <c r="M5" s="119">
        <f>'Analiza nakupa'!$D$6</f>
        <v>0</v>
      </c>
      <c r="N5" s="118">
        <f>'Analiza nakupa'!$D$6</f>
        <v>0</v>
      </c>
      <c r="O5" s="122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hidden="1" x14ac:dyDescent="0.3">
      <c r="B6" s="123" t="s">
        <v>4</v>
      </c>
      <c r="C6" s="97" t="e">
        <f>'Analiza nakupa'!$D$5/$C$5</f>
        <v>#DIV/0!</v>
      </c>
      <c r="D6" s="97" t="e">
        <f>'Analiza nakupa'!$D$5/$C$5</f>
        <v>#DIV/0!</v>
      </c>
      <c r="E6" s="97" t="e">
        <f>'Analiza nakupa'!$D$5/$C$5</f>
        <v>#DIV/0!</v>
      </c>
      <c r="F6" s="97" t="e">
        <f>'Analiza nakupa'!$D$5/$C$5</f>
        <v>#DIV/0!</v>
      </c>
      <c r="G6" s="97" t="e">
        <f>'Analiza nakupa'!$D$5/$C$5</f>
        <v>#DIV/0!</v>
      </c>
      <c r="H6" s="97" t="e">
        <f>'Analiza nakupa'!$D$5/$C$5</f>
        <v>#DIV/0!</v>
      </c>
      <c r="I6" s="97" t="e">
        <f>'Analiza nakupa'!$D$5/$C$5</f>
        <v>#DIV/0!</v>
      </c>
      <c r="J6" s="97" t="e">
        <f>'Analiza nakupa'!$D$5/$C$5</f>
        <v>#DIV/0!</v>
      </c>
      <c r="K6" s="97" t="e">
        <f>'Analiza nakupa'!$D$5/$C$5</f>
        <v>#DIV/0!</v>
      </c>
      <c r="L6" s="97" t="e">
        <f>'Analiza nakupa'!$D$5/$C$5</f>
        <v>#DIV/0!</v>
      </c>
      <c r="M6" s="97" t="e">
        <f>'Analiza nakupa'!$D$5/$C$5</f>
        <v>#DIV/0!</v>
      </c>
      <c r="N6" s="124" t="e">
        <f>'Analiza nakupa'!$D$5/N5</f>
        <v>#DIV/0!</v>
      </c>
      <c r="O6" s="9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64" hidden="1" x14ac:dyDescent="0.3">
      <c r="B7" s="123" t="s">
        <v>6</v>
      </c>
      <c r="C7" s="97">
        <f>'Analiza nakupa'!$D$14</f>
        <v>0</v>
      </c>
      <c r="D7" s="97">
        <f>'Analiza nakupa'!$D$14</f>
        <v>0</v>
      </c>
      <c r="E7" s="97">
        <f>'Analiza nakupa'!$D$14</f>
        <v>0</v>
      </c>
      <c r="F7" s="97">
        <f>'Analiza nakupa'!$D$14</f>
        <v>0</v>
      </c>
      <c r="G7" s="97">
        <f>'Analiza nakupa'!$D$14</f>
        <v>0</v>
      </c>
      <c r="H7" s="97">
        <f>'Analiza nakupa'!$D$14</f>
        <v>0</v>
      </c>
      <c r="I7" s="97">
        <f>'Analiza nakupa'!$D$14</f>
        <v>0</v>
      </c>
      <c r="J7" s="97">
        <f>'Analiza nakupa'!$D$14</f>
        <v>0</v>
      </c>
      <c r="K7" s="97">
        <f>'Analiza nakupa'!$D$14</f>
        <v>0</v>
      </c>
      <c r="L7" s="97">
        <f>'Analiza nakupa'!$D$14</f>
        <v>0</v>
      </c>
      <c r="M7" s="125">
        <f>'Analiza nakupa'!$D$14</f>
        <v>0</v>
      </c>
      <c r="N7" s="124">
        <f>'Analiza nakupa'!$D$14</f>
        <v>0</v>
      </c>
      <c r="O7" s="93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64" hidden="1" x14ac:dyDescent="0.3">
      <c r="B8" s="123" t="s">
        <v>7</v>
      </c>
      <c r="C8" s="97">
        <f>'Analiza nakupa'!$D$13</f>
        <v>0</v>
      </c>
      <c r="D8" s="97">
        <f>'Analiza nakupa'!$D$13</f>
        <v>0</v>
      </c>
      <c r="E8" s="97">
        <f>'Analiza nakupa'!$D$13</f>
        <v>0</v>
      </c>
      <c r="F8" s="97">
        <f>'Analiza nakupa'!$D$13</f>
        <v>0</v>
      </c>
      <c r="G8" s="97">
        <f>'Analiza nakupa'!$D$13</f>
        <v>0</v>
      </c>
      <c r="H8" s="97">
        <f>'Analiza nakupa'!$D$13</f>
        <v>0</v>
      </c>
      <c r="I8" s="97">
        <f>'Analiza nakupa'!$D$13</f>
        <v>0</v>
      </c>
      <c r="J8" s="97">
        <f>'Analiza nakupa'!$D$13</f>
        <v>0</v>
      </c>
      <c r="K8" s="97">
        <f>'Analiza nakupa'!$D$13</f>
        <v>0</v>
      </c>
      <c r="L8" s="97">
        <f>'Analiza nakupa'!$D$13</f>
        <v>0</v>
      </c>
      <c r="M8" s="97">
        <f>'Analiza nakupa'!$D$13</f>
        <v>0</v>
      </c>
      <c r="N8" s="124">
        <f>'Analiza nakupa'!$D$13</f>
        <v>0</v>
      </c>
      <c r="O8" s="9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64" hidden="1" x14ac:dyDescent="0.3">
      <c r="B9" s="123" t="s">
        <v>8</v>
      </c>
      <c r="C9" s="97" t="e">
        <f>SUM(C6:C8)</f>
        <v>#DIV/0!</v>
      </c>
      <c r="D9" s="97" t="e">
        <f t="shared" ref="D9:M9" si="0">SUM(D6:D8)</f>
        <v>#DIV/0!</v>
      </c>
      <c r="E9" s="97" t="e">
        <f t="shared" si="0"/>
        <v>#DIV/0!</v>
      </c>
      <c r="F9" s="97" t="e">
        <f t="shared" si="0"/>
        <v>#DIV/0!</v>
      </c>
      <c r="G9" s="97" t="e">
        <f t="shared" si="0"/>
        <v>#DIV/0!</v>
      </c>
      <c r="H9" s="97" t="e">
        <f t="shared" si="0"/>
        <v>#DIV/0!</v>
      </c>
      <c r="I9" s="97" t="e">
        <f t="shared" si="0"/>
        <v>#DIV/0!</v>
      </c>
      <c r="J9" s="97" t="e">
        <f t="shared" si="0"/>
        <v>#DIV/0!</v>
      </c>
      <c r="K9" s="97" t="e">
        <f t="shared" si="0"/>
        <v>#DIV/0!</v>
      </c>
      <c r="L9" s="97" t="e">
        <f t="shared" si="0"/>
        <v>#DIV/0!</v>
      </c>
      <c r="M9" s="97" t="e">
        <f t="shared" si="0"/>
        <v>#DIV/0!</v>
      </c>
      <c r="N9" s="124" t="e">
        <f>SUM(N6:N8)</f>
        <v>#DIV/0!</v>
      </c>
      <c r="O9" s="93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64" x14ac:dyDescent="0.3">
      <c r="B10" s="123" t="s">
        <v>11</v>
      </c>
      <c r="C10" s="97">
        <f>'Analiza nakupa'!$D$8</f>
        <v>0</v>
      </c>
      <c r="D10" s="97">
        <f>'Analiza nakupa'!$D$8</f>
        <v>0</v>
      </c>
      <c r="E10" s="97">
        <f>'Analiza nakupa'!$D$8</f>
        <v>0</v>
      </c>
      <c r="F10" s="97">
        <f>'Analiza nakupa'!$D$8</f>
        <v>0</v>
      </c>
      <c r="G10" s="97">
        <f>'Analiza nakupa'!$D$8</f>
        <v>0</v>
      </c>
      <c r="H10" s="97">
        <f>'Analiza nakupa'!$D$8</f>
        <v>0</v>
      </c>
      <c r="I10" s="97">
        <f>'Analiza nakupa'!$D$8</f>
        <v>0</v>
      </c>
      <c r="J10" s="97">
        <f>'Analiza nakupa'!$D$8</f>
        <v>0</v>
      </c>
      <c r="K10" s="97">
        <f>'Analiza nakupa'!$D$8</f>
        <v>0</v>
      </c>
      <c r="L10" s="97">
        <f>'Analiza nakupa'!$D$8</f>
        <v>0</v>
      </c>
      <c r="M10" s="97">
        <f>'Analiza nakupa'!$D$8</f>
        <v>0</v>
      </c>
      <c r="N10" s="124">
        <f>'Analiza nakupa'!$D$8</f>
        <v>0</v>
      </c>
      <c r="O10" s="9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64" x14ac:dyDescent="0.3">
      <c r="A11" s="126"/>
      <c r="B11" s="123" t="s">
        <v>73</v>
      </c>
      <c r="C11" s="97" t="str">
        <f>IFERROR(C9/C4,"ni podatka")</f>
        <v>ni podatka</v>
      </c>
      <c r="D11" s="97" t="str">
        <f t="shared" ref="D11:M11" si="1">IFERROR(D9/D4,"ni podatka")</f>
        <v>ni podatka</v>
      </c>
      <c r="E11" s="97" t="str">
        <f t="shared" si="1"/>
        <v>ni podatka</v>
      </c>
      <c r="F11" s="97" t="str">
        <f t="shared" si="1"/>
        <v>ni podatka</v>
      </c>
      <c r="G11" s="97" t="str">
        <f t="shared" si="1"/>
        <v>ni podatka</v>
      </c>
      <c r="H11" s="97" t="str">
        <f t="shared" si="1"/>
        <v>ni podatka</v>
      </c>
      <c r="I11" s="97" t="str">
        <f t="shared" si="1"/>
        <v>ni podatka</v>
      </c>
      <c r="J11" s="97" t="str">
        <f t="shared" si="1"/>
        <v>ni podatka</v>
      </c>
      <c r="K11" s="97" t="str">
        <f t="shared" si="1"/>
        <v>ni podatka</v>
      </c>
      <c r="L11" s="97" t="str">
        <f t="shared" si="1"/>
        <v>ni podatka</v>
      </c>
      <c r="M11" s="125" t="str">
        <f t="shared" si="1"/>
        <v>ni podatka</v>
      </c>
      <c r="N11" s="124" t="str">
        <f>IFERROR(N9/N4,"ni podatka")</f>
        <v>ni podatka</v>
      </c>
      <c r="O11" s="93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64" x14ac:dyDescent="0.3">
      <c r="A12" s="127"/>
      <c r="B12" s="118" t="s">
        <v>12</v>
      </c>
      <c r="C12" s="129" t="str">
        <f>IFERROR(C10-C11,"ni podatka")</f>
        <v>ni podatka</v>
      </c>
      <c r="D12" s="129" t="str">
        <f t="shared" ref="D12:N12" si="2">IFERROR(D10-D11,"ni podatka")</f>
        <v>ni podatka</v>
      </c>
      <c r="E12" s="129" t="str">
        <f t="shared" si="2"/>
        <v>ni podatka</v>
      </c>
      <c r="F12" s="129" t="str">
        <f t="shared" si="2"/>
        <v>ni podatka</v>
      </c>
      <c r="G12" s="129" t="str">
        <f t="shared" si="2"/>
        <v>ni podatka</v>
      </c>
      <c r="H12" s="129" t="str">
        <f t="shared" si="2"/>
        <v>ni podatka</v>
      </c>
      <c r="I12" s="129" t="str">
        <f t="shared" si="2"/>
        <v>ni podatka</v>
      </c>
      <c r="J12" s="129" t="str">
        <f t="shared" si="2"/>
        <v>ni podatka</v>
      </c>
      <c r="K12" s="129" t="str">
        <f t="shared" si="2"/>
        <v>ni podatka</v>
      </c>
      <c r="L12" s="129" t="str">
        <f t="shared" si="2"/>
        <v>ni podatka</v>
      </c>
      <c r="M12" s="130" t="str">
        <f t="shared" si="2"/>
        <v>ni podatka</v>
      </c>
      <c r="N12" s="131" t="str">
        <f t="shared" si="2"/>
        <v>ni podatka</v>
      </c>
      <c r="O12" s="9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64" ht="15" thickBot="1" x14ac:dyDescent="0.35">
      <c r="A13" s="127"/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93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64" ht="15" thickBot="1" x14ac:dyDescent="0.35">
      <c r="B14" s="132" t="s">
        <v>74</v>
      </c>
      <c r="C14" s="115">
        <v>-0.25</v>
      </c>
      <c r="D14" s="115">
        <v>-0.2</v>
      </c>
      <c r="E14" s="115">
        <v>-0.15</v>
      </c>
      <c r="F14" s="115">
        <v>-0.1</v>
      </c>
      <c r="G14" s="115">
        <v>-0.05</v>
      </c>
      <c r="H14" s="116" t="s">
        <v>65</v>
      </c>
      <c r="I14" s="116" t="s">
        <v>66</v>
      </c>
      <c r="J14" s="116" t="s">
        <v>67</v>
      </c>
      <c r="K14" s="116" t="s">
        <v>68</v>
      </c>
      <c r="L14" s="116" t="s">
        <v>69</v>
      </c>
      <c r="M14" s="116" t="s">
        <v>70</v>
      </c>
      <c r="N14" s="117" t="s">
        <v>71</v>
      </c>
      <c r="O14" s="9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</row>
    <row r="15" spans="1:64" x14ac:dyDescent="0.3">
      <c r="B15" s="118" t="s">
        <v>61</v>
      </c>
      <c r="C15" s="119" t="str">
        <f>'Analiza nakupa'!$H$49</f>
        <v/>
      </c>
      <c r="D15" s="119" t="str">
        <f>'Analiza nakupa'!$H$50</f>
        <v/>
      </c>
      <c r="E15" s="119" t="str">
        <f>'Analiza nakupa'!$H$51</f>
        <v/>
      </c>
      <c r="F15" s="119" t="str">
        <f>'Analiza nakupa'!$H$52</f>
        <v/>
      </c>
      <c r="G15" s="119" t="str">
        <f>'Analiza nakupa'!$H$53</f>
        <v/>
      </c>
      <c r="H15" s="119" t="str">
        <f>'Analiza nakupa'!$H$54</f>
        <v/>
      </c>
      <c r="I15" s="119" t="str">
        <f>'Analiza nakupa'!$H$55</f>
        <v/>
      </c>
      <c r="J15" s="119" t="str">
        <f>'Analiza nakupa'!$H$56</f>
        <v/>
      </c>
      <c r="K15" s="119" t="str">
        <f>'Analiza nakupa'!$H$57</f>
        <v/>
      </c>
      <c r="L15" s="119" t="str">
        <f>'Analiza nakupa'!$H$58</f>
        <v/>
      </c>
      <c r="M15" s="119" t="str">
        <f>'Analiza nakupa'!$H$59</f>
        <v/>
      </c>
      <c r="N15" s="120" t="str">
        <f>IFERROR(Izračuni!H30,"ni podatka")</f>
        <v>ni podatka</v>
      </c>
      <c r="O15" s="93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64" x14ac:dyDescent="0.3">
      <c r="A16" s="121"/>
      <c r="B16" s="118" t="s">
        <v>75</v>
      </c>
      <c r="C16" s="119">
        <f>'Analiza nakupa'!$D$6</f>
        <v>0</v>
      </c>
      <c r="D16" s="119">
        <f>'Analiza nakupa'!$D$6</f>
        <v>0</v>
      </c>
      <c r="E16" s="119">
        <f>'Analiza nakupa'!$D$6</f>
        <v>0</v>
      </c>
      <c r="F16" s="119">
        <f>'Analiza nakupa'!$D$6</f>
        <v>0</v>
      </c>
      <c r="G16" s="119">
        <f>'Analiza nakupa'!$D$6</f>
        <v>0</v>
      </c>
      <c r="H16" s="119">
        <f>'Analiza nakupa'!$D$6</f>
        <v>0</v>
      </c>
      <c r="I16" s="119">
        <f>'Analiza nakupa'!$D$6</f>
        <v>0</v>
      </c>
      <c r="J16" s="119">
        <f>'Analiza nakupa'!$D$6</f>
        <v>0</v>
      </c>
      <c r="K16" s="119">
        <f>'Analiza nakupa'!$D$6</f>
        <v>0</v>
      </c>
      <c r="L16" s="119">
        <f>'Analiza nakupa'!$D$6</f>
        <v>0</v>
      </c>
      <c r="M16" s="119">
        <f>'Analiza nakupa'!$D$6</f>
        <v>0</v>
      </c>
      <c r="N16" s="118">
        <f>'Analiza nakupa'!$D$6</f>
        <v>0</v>
      </c>
      <c r="O16" s="9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64" hidden="1" x14ac:dyDescent="0.3">
      <c r="B17" s="123" t="s">
        <v>4</v>
      </c>
      <c r="C17" s="97">
        <f>Izračuni!$H$7</f>
        <v>0</v>
      </c>
      <c r="D17" s="97">
        <f>Izračuni!$H$7</f>
        <v>0</v>
      </c>
      <c r="E17" s="97">
        <f>Izračuni!$H$7</f>
        <v>0</v>
      </c>
      <c r="F17" s="97">
        <f>Izračuni!$H$7</f>
        <v>0</v>
      </c>
      <c r="G17" s="97">
        <f>Izračuni!$H$7</f>
        <v>0</v>
      </c>
      <c r="H17" s="97">
        <f>Izračuni!$H$7</f>
        <v>0</v>
      </c>
      <c r="I17" s="97">
        <f>Izračuni!$H$7</f>
        <v>0</v>
      </c>
      <c r="J17" s="97">
        <f>Izračuni!$H$7</f>
        <v>0</v>
      </c>
      <c r="K17" s="97">
        <f>Izračuni!$H$7</f>
        <v>0</v>
      </c>
      <c r="L17" s="97">
        <f>Izračuni!$H$7</f>
        <v>0</v>
      </c>
      <c r="M17" s="97">
        <f>Izračuni!$H$7</f>
        <v>0</v>
      </c>
      <c r="N17" s="97">
        <f>Izračuni!$H$7</f>
        <v>0</v>
      </c>
      <c r="O17" s="93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64" s="4" customFormat="1" hidden="1" x14ac:dyDescent="0.3">
      <c r="A18" s="89"/>
      <c r="B18" s="123" t="s">
        <v>6</v>
      </c>
      <c r="C18" s="97">
        <f>Izračuni!$H$8</f>
        <v>0</v>
      </c>
      <c r="D18" s="97">
        <f>Izračuni!$H$8</f>
        <v>0</v>
      </c>
      <c r="E18" s="97">
        <f>Izračuni!$H$8</f>
        <v>0</v>
      </c>
      <c r="F18" s="97">
        <f>Izračuni!$H$8</f>
        <v>0</v>
      </c>
      <c r="G18" s="97">
        <f>Izračuni!$H$8</f>
        <v>0</v>
      </c>
      <c r="H18" s="97">
        <f>Izračuni!$H$8</f>
        <v>0</v>
      </c>
      <c r="I18" s="97">
        <f>Izračuni!$H$8</f>
        <v>0</v>
      </c>
      <c r="J18" s="97">
        <f>Izračuni!$H$8</f>
        <v>0</v>
      </c>
      <c r="K18" s="97">
        <f>Izračuni!$H$8</f>
        <v>0</v>
      </c>
      <c r="L18" s="97">
        <f>Izračuni!$H$8</f>
        <v>0</v>
      </c>
      <c r="M18" s="97">
        <f>Izračuni!$H$8</f>
        <v>0</v>
      </c>
      <c r="N18" s="97">
        <f>Izračuni!$H$8</f>
        <v>0</v>
      </c>
      <c r="O18" s="122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</row>
    <row r="19" spans="1:64" s="4" customFormat="1" hidden="1" x14ac:dyDescent="0.3">
      <c r="A19" s="89"/>
      <c r="B19" s="123" t="s">
        <v>7</v>
      </c>
      <c r="C19" s="97">
        <f>Izračuni!$H$9</f>
        <v>0</v>
      </c>
      <c r="D19" s="97">
        <f>Izračuni!$H$9</f>
        <v>0</v>
      </c>
      <c r="E19" s="97">
        <f>Izračuni!$H$9</f>
        <v>0</v>
      </c>
      <c r="F19" s="97">
        <f>Izračuni!$H$9</f>
        <v>0</v>
      </c>
      <c r="G19" s="97">
        <f>Izračuni!$H$9</f>
        <v>0</v>
      </c>
      <c r="H19" s="97">
        <f>Izračuni!$H$9</f>
        <v>0</v>
      </c>
      <c r="I19" s="97">
        <f>Izračuni!$H$9</f>
        <v>0</v>
      </c>
      <c r="J19" s="97">
        <f>Izračuni!$H$9</f>
        <v>0</v>
      </c>
      <c r="K19" s="97">
        <f>Izračuni!$H$9</f>
        <v>0</v>
      </c>
      <c r="L19" s="97">
        <f>Izračuni!$H$9</f>
        <v>0</v>
      </c>
      <c r="M19" s="97">
        <f>Izračuni!$H$9</f>
        <v>0</v>
      </c>
      <c r="N19" s="97">
        <f>Izračuni!$H$9</f>
        <v>0</v>
      </c>
      <c r="O19" s="122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</row>
    <row r="20" spans="1:64" s="4" customFormat="1" hidden="1" x14ac:dyDescent="0.3">
      <c r="A20" s="89"/>
      <c r="B20" s="123" t="s">
        <v>8</v>
      </c>
      <c r="C20" s="97">
        <f>SUM(C17:C19)</f>
        <v>0</v>
      </c>
      <c r="D20" s="97">
        <f t="shared" ref="D20:N20" si="3">SUM(D17:D19)</f>
        <v>0</v>
      </c>
      <c r="E20" s="97">
        <f t="shared" si="3"/>
        <v>0</v>
      </c>
      <c r="F20" s="97">
        <f t="shared" si="3"/>
        <v>0</v>
      </c>
      <c r="G20" s="97">
        <f t="shared" si="3"/>
        <v>0</v>
      </c>
      <c r="H20" s="97">
        <f t="shared" si="3"/>
        <v>0</v>
      </c>
      <c r="I20" s="97">
        <f t="shared" si="3"/>
        <v>0</v>
      </c>
      <c r="J20" s="97">
        <f t="shared" si="3"/>
        <v>0</v>
      </c>
      <c r="K20" s="97">
        <f t="shared" si="3"/>
        <v>0</v>
      </c>
      <c r="L20" s="97">
        <f t="shared" si="3"/>
        <v>0</v>
      </c>
      <c r="M20" s="97">
        <f t="shared" si="3"/>
        <v>0</v>
      </c>
      <c r="N20" s="97">
        <f t="shared" si="3"/>
        <v>0</v>
      </c>
      <c r="O20" s="122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</row>
    <row r="21" spans="1:64" s="4" customFormat="1" x14ac:dyDescent="0.3">
      <c r="A21" s="89"/>
      <c r="B21" s="123" t="s">
        <v>11</v>
      </c>
      <c r="C21" s="97">
        <f>'Analiza nakupa'!$D$8</f>
        <v>0</v>
      </c>
      <c r="D21" s="97">
        <f>'Analiza nakupa'!$D$8</f>
        <v>0</v>
      </c>
      <c r="E21" s="97">
        <f>'Analiza nakupa'!$D$8</f>
        <v>0</v>
      </c>
      <c r="F21" s="97">
        <f>'Analiza nakupa'!$D$8</f>
        <v>0</v>
      </c>
      <c r="G21" s="97">
        <f>'Analiza nakupa'!$D$8</f>
        <v>0</v>
      </c>
      <c r="H21" s="97">
        <f>'Analiza nakupa'!$D$8</f>
        <v>0</v>
      </c>
      <c r="I21" s="97">
        <f>'Analiza nakupa'!$D$8</f>
        <v>0</v>
      </c>
      <c r="J21" s="97">
        <f>'Analiza nakupa'!$D$8</f>
        <v>0</v>
      </c>
      <c r="K21" s="97">
        <f>'Analiza nakupa'!$D$8</f>
        <v>0</v>
      </c>
      <c r="L21" s="97">
        <f>'Analiza nakupa'!$D$8</f>
        <v>0</v>
      </c>
      <c r="M21" s="97">
        <f>'Analiza nakupa'!$D$8</f>
        <v>0</v>
      </c>
      <c r="N21" s="124">
        <f>'Analiza nakupa'!$D$8</f>
        <v>0</v>
      </c>
      <c r="O21" s="122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</row>
    <row r="22" spans="1:64" s="4" customFormat="1" x14ac:dyDescent="0.3">
      <c r="A22" s="126"/>
      <c r="B22" s="123" t="s">
        <v>73</v>
      </c>
      <c r="C22" s="97" t="str">
        <f>IFERROR(C20/C15,"ni podatka")</f>
        <v>ni podatka</v>
      </c>
      <c r="D22" s="97" t="str">
        <f t="shared" ref="D22:M22" si="4">IFERROR(D20/D15,"ni podatka")</f>
        <v>ni podatka</v>
      </c>
      <c r="E22" s="97" t="str">
        <f t="shared" si="4"/>
        <v>ni podatka</v>
      </c>
      <c r="F22" s="97" t="str">
        <f t="shared" si="4"/>
        <v>ni podatka</v>
      </c>
      <c r="G22" s="97" t="str">
        <f t="shared" si="4"/>
        <v>ni podatka</v>
      </c>
      <c r="H22" s="97" t="str">
        <f t="shared" si="4"/>
        <v>ni podatka</v>
      </c>
      <c r="I22" s="97" t="str">
        <f t="shared" si="4"/>
        <v>ni podatka</v>
      </c>
      <c r="J22" s="97" t="str">
        <f t="shared" si="4"/>
        <v>ni podatka</v>
      </c>
      <c r="K22" s="97" t="str">
        <f t="shared" si="4"/>
        <v>ni podatka</v>
      </c>
      <c r="L22" s="97" t="str">
        <f t="shared" si="4"/>
        <v>ni podatka</v>
      </c>
      <c r="M22" s="125" t="str">
        <f t="shared" si="4"/>
        <v>ni podatka</v>
      </c>
      <c r="N22" s="124" t="str">
        <f>IFERROR(N20/N15,"ni podatka")</f>
        <v>ni podatka</v>
      </c>
      <c r="O22" s="122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</row>
    <row r="23" spans="1:64" s="4" customFormat="1" x14ac:dyDescent="0.3">
      <c r="A23" s="127"/>
      <c r="B23" s="118" t="s">
        <v>12</v>
      </c>
      <c r="C23" s="129" t="str">
        <f>IFERROR(C21-C22,"ni podatka")</f>
        <v>ni podatka</v>
      </c>
      <c r="D23" s="129" t="str">
        <f t="shared" ref="D23:N23" si="5">IFERROR(D21-D22,"ni podatka")</f>
        <v>ni podatka</v>
      </c>
      <c r="E23" s="129" t="str">
        <f t="shared" si="5"/>
        <v>ni podatka</v>
      </c>
      <c r="F23" s="129" t="str">
        <f t="shared" si="5"/>
        <v>ni podatka</v>
      </c>
      <c r="G23" s="129" t="str">
        <f t="shared" si="5"/>
        <v>ni podatka</v>
      </c>
      <c r="H23" s="129" t="str">
        <f t="shared" si="5"/>
        <v>ni podatka</v>
      </c>
      <c r="I23" s="129" t="str">
        <f t="shared" si="5"/>
        <v>ni podatka</v>
      </c>
      <c r="J23" s="129" t="str">
        <f t="shared" si="5"/>
        <v>ni podatka</v>
      </c>
      <c r="K23" s="129" t="str">
        <f t="shared" si="5"/>
        <v>ni podatka</v>
      </c>
      <c r="L23" s="129" t="str">
        <f t="shared" si="5"/>
        <v>ni podatka</v>
      </c>
      <c r="M23" s="130" t="str">
        <f t="shared" si="5"/>
        <v>ni podatka</v>
      </c>
      <c r="N23" s="131" t="str">
        <f t="shared" si="5"/>
        <v>ni podatka</v>
      </c>
      <c r="O23" s="122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</row>
    <row r="24" spans="1:64" x14ac:dyDescent="0.3">
      <c r="B24" s="94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9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64" x14ac:dyDescent="0.3">
      <c r="B25" s="94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9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64" x14ac:dyDescent="0.3">
      <c r="B26" s="94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9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64" x14ac:dyDescent="0.3">
      <c r="B27" s="94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93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64" x14ac:dyDescent="0.3">
      <c r="B28" s="94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9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64" x14ac:dyDescent="0.3">
      <c r="B29" s="94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93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64" x14ac:dyDescent="0.3">
      <c r="B30" s="94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9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64" x14ac:dyDescent="0.3">
      <c r="B31" s="94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93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64" x14ac:dyDescent="0.3">
      <c r="B32" s="94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93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2:29" x14ac:dyDescent="0.3">
      <c r="B33" s="94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93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</row>
    <row r="34" spans="2:29" x14ac:dyDescent="0.3">
      <c r="B34" s="94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93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</row>
    <row r="35" spans="2:29" x14ac:dyDescent="0.3">
      <c r="B35" s="94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93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2:29" x14ac:dyDescent="0.3">
      <c r="B36" s="94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93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2:29" x14ac:dyDescent="0.3">
      <c r="B37" s="94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93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</row>
    <row r="38" spans="2:29" x14ac:dyDescent="0.3">
      <c r="B38" s="94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93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</row>
    <row r="39" spans="2:29" x14ac:dyDescent="0.3">
      <c r="B39" s="94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93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</row>
    <row r="40" spans="2:29" x14ac:dyDescent="0.3">
      <c r="B40" s="94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93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</row>
    <row r="41" spans="2:29" x14ac:dyDescent="0.3">
      <c r="B41" s="94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93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2" spans="2:29" x14ac:dyDescent="0.3">
      <c r="B42" s="94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93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2:29" x14ac:dyDescent="0.3">
      <c r="B43" s="94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93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</row>
    <row r="44" spans="2:29" x14ac:dyDescent="0.3">
      <c r="B44" s="94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93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</row>
    <row r="45" spans="2:29" ht="15" thickBot="1" x14ac:dyDescent="0.35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2:29" s="89" customFormat="1" ht="15" thickBot="1" x14ac:dyDescent="0.35"/>
    <row r="47" spans="2:29" ht="15" thickBot="1" x14ac:dyDescent="0.35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</row>
    <row r="48" spans="2:29" ht="15" thickBot="1" x14ac:dyDescent="0.35">
      <c r="B48" s="114" t="s">
        <v>76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117" t="s">
        <v>71</v>
      </c>
      <c r="O48" s="93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</row>
    <row r="49" spans="1:29" x14ac:dyDescent="0.3">
      <c r="B49" s="118" t="s">
        <v>61</v>
      </c>
      <c r="C49" s="119" t="str">
        <f>IF(OR('Analiza nakupa'!H$67=0,'Analiza nakupa'!H$67=""),"ni podatka",'Analiza nakupa'!H$67)</f>
        <v>ni podatka</v>
      </c>
      <c r="D49" s="119" t="str">
        <f>IF(OR('Analiza nakupa'!H$68=0,'Analiza nakupa'!H$68=""),"ni podatka",'Analiza nakupa'!H$68)</f>
        <v>ni podatka</v>
      </c>
      <c r="E49" s="119" t="str">
        <f>IF(OR('Analiza nakupa'!H$69=0,'Analiza nakupa'!H$69=""),"ni podatka",'Analiza nakupa'!H$69)</f>
        <v>ni podatka</v>
      </c>
      <c r="F49" s="119" t="str">
        <f>IF(OR('Analiza nakupa'!H$70=0,'Analiza nakupa'!H$70=""),"ni podatka",'Analiza nakupa'!H$70)</f>
        <v>ni podatka</v>
      </c>
      <c r="G49" s="119" t="str">
        <f>IF(OR('Analiza nakupa'!H$71=0,'Analiza nakupa'!H$71=""),"ni podatka",'Analiza nakupa'!H$71)</f>
        <v>ni podatka</v>
      </c>
      <c r="H49" s="119" t="str">
        <f>IF(OR('Analiza nakupa'!H$72=0,'Analiza nakupa'!H$72=""),"ni podatka",'Analiza nakupa'!H$72)</f>
        <v>ni podatka</v>
      </c>
      <c r="I49" s="119" t="str">
        <f>IF(OR('Analiza nakupa'!H$73=0,'Analiza nakupa'!H$73=""),"ni podatka",'Analiza nakupa'!H$73)</f>
        <v>ni podatka</v>
      </c>
      <c r="J49" s="119" t="str">
        <f>IF(OR('Analiza nakupa'!H$74=0,'Analiza nakupa'!H$74=""),"ni podatka",'Analiza nakupa'!H$74)</f>
        <v>ni podatka</v>
      </c>
      <c r="K49" s="119" t="str">
        <f>IF(OR('Analiza nakupa'!H$75=0,'Analiza nakupa'!H$75=""),"ni podatka",'Analiza nakupa'!H$75)</f>
        <v>ni podatka</v>
      </c>
      <c r="L49" s="119" t="str">
        <f>IF(OR('Analiza nakupa'!H$76=0,'Analiza nakupa'!H$76=""),"ni podatka",'Analiza nakupa'!H$76)</f>
        <v>ni podatka</v>
      </c>
      <c r="M49" s="119" t="str">
        <f>IF(OR('Analiza nakupa'!H$77=0,'Analiza nakupa'!H$77=""),"ni podatka",'Analiza nakupa'!H$77)</f>
        <v>ni podatka</v>
      </c>
      <c r="N49" s="120" t="str">
        <f>IFERROR(Izračuni!C30,"ni podatka")</f>
        <v>ni podatka</v>
      </c>
      <c r="O49" s="93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</row>
    <row r="50" spans="1:29" hidden="1" x14ac:dyDescent="0.3">
      <c r="B50" s="118" t="s">
        <v>61</v>
      </c>
      <c r="C50" s="119" t="e">
        <f>IF(OR('Analiza nakupa'!H$67=0,'Analiza nakupa'!H$67=""),NA(),'Analiza nakupa'!H$67)</f>
        <v>#N/A</v>
      </c>
      <c r="D50" s="119" t="e">
        <f>IF(OR('Analiza nakupa'!H$68=0,'Analiza nakupa'!H$68=""),NA(),'Analiza nakupa'!H$68)</f>
        <v>#N/A</v>
      </c>
      <c r="E50" s="119" t="e">
        <f>IF(OR('Analiza nakupa'!H$69=0,'Analiza nakupa'!H$69=""),NA(),'Analiza nakupa'!H$69)</f>
        <v>#N/A</v>
      </c>
      <c r="F50" s="119" t="e">
        <f>IF(OR('Analiza nakupa'!H$70=0,'Analiza nakupa'!H$70=""),NA(),'Analiza nakupa'!H$70)</f>
        <v>#N/A</v>
      </c>
      <c r="G50" s="119" t="e">
        <f>IF(OR('Analiza nakupa'!H$71=0,'Analiza nakupa'!H$71=""),NA(),'Analiza nakupa'!H$71)</f>
        <v>#N/A</v>
      </c>
      <c r="H50" s="119" t="e">
        <f>IF(OR('Analiza nakupa'!H$72=0,'Analiza nakupa'!H$72=""),NA(),'Analiza nakupa'!H$72)</f>
        <v>#N/A</v>
      </c>
      <c r="I50" s="119" t="e">
        <f>IF(OR('Analiza nakupa'!H$73=0,'Analiza nakupa'!H$73=""),NA(),'Analiza nakupa'!H$73)</f>
        <v>#N/A</v>
      </c>
      <c r="J50" s="119" t="e">
        <f>IF(OR('Analiza nakupa'!H$74=0,'Analiza nakupa'!H$74=""),NA(),'Analiza nakupa'!H$74)</f>
        <v>#N/A</v>
      </c>
      <c r="K50" s="119" t="e">
        <f>IF(OR('Analiza nakupa'!H$75=0,'Analiza nakupa'!H$75=""),NA(),'Analiza nakupa'!H$75)</f>
        <v>#N/A</v>
      </c>
      <c r="L50" s="119" t="e">
        <f>IF(OR('Analiza nakupa'!H$76=0,'Analiza nakupa'!H$76=""),NA(),'Analiza nakupa'!H$76)</f>
        <v>#N/A</v>
      </c>
      <c r="M50" s="119" t="e">
        <f>IF(OR('Analiza nakupa'!H$77=0,'Analiza nakupa'!H$77=""),NA(),'Analiza nakupa'!H$77)</f>
        <v>#N/A</v>
      </c>
      <c r="N50" s="120" t="e">
        <f>Izračuni!C30</f>
        <v>#DIV/0!</v>
      </c>
      <c r="O50" s="93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</row>
    <row r="51" spans="1:29" x14ac:dyDescent="0.3">
      <c r="B51" s="118" t="s">
        <v>75</v>
      </c>
      <c r="C51" s="119">
        <f>'Analiza nakupa'!$D$6</f>
        <v>0</v>
      </c>
      <c r="D51" s="119">
        <f>'Analiza nakupa'!$D$6</f>
        <v>0</v>
      </c>
      <c r="E51" s="119">
        <f>'Analiza nakupa'!$D$6</f>
        <v>0</v>
      </c>
      <c r="F51" s="119">
        <f>'Analiza nakupa'!$D$6</f>
        <v>0</v>
      </c>
      <c r="G51" s="119">
        <f>'Analiza nakupa'!$D$6</f>
        <v>0</v>
      </c>
      <c r="H51" s="119">
        <f>'Analiza nakupa'!$D$6</f>
        <v>0</v>
      </c>
      <c r="I51" s="119">
        <f>'Analiza nakupa'!$D$6</f>
        <v>0</v>
      </c>
      <c r="J51" s="119">
        <f>'Analiza nakupa'!$D$6</f>
        <v>0</v>
      </c>
      <c r="K51" s="119">
        <f>'Analiza nakupa'!$D$6</f>
        <v>0</v>
      </c>
      <c r="L51" s="119">
        <f>'Analiza nakupa'!$D$6</f>
        <v>0</v>
      </c>
      <c r="M51" s="119">
        <f>'Analiza nakupa'!$D$6</f>
        <v>0</v>
      </c>
      <c r="N51" s="118">
        <f>'Analiza nakupa'!$D$6</f>
        <v>0</v>
      </c>
      <c r="O51" s="122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</row>
    <row r="52" spans="1:29" hidden="1" x14ac:dyDescent="0.3">
      <c r="B52" s="123" t="s">
        <v>4</v>
      </c>
      <c r="C52" s="97" t="e">
        <f>'Analiza nakupa'!$D$5/$C$5</f>
        <v>#DIV/0!</v>
      </c>
      <c r="D52" s="97" t="e">
        <f>'Analiza nakupa'!$D$5/$C$5</f>
        <v>#DIV/0!</v>
      </c>
      <c r="E52" s="97" t="e">
        <f>'Analiza nakupa'!$D$5/$C$5</f>
        <v>#DIV/0!</v>
      </c>
      <c r="F52" s="97" t="e">
        <f>'Analiza nakupa'!$D$5/$C$5</f>
        <v>#DIV/0!</v>
      </c>
      <c r="G52" s="97" t="e">
        <f>'Analiza nakupa'!$D$5/$C$5</f>
        <v>#DIV/0!</v>
      </c>
      <c r="H52" s="97" t="e">
        <f>'Analiza nakupa'!$D$5/$C$5</f>
        <v>#DIV/0!</v>
      </c>
      <c r="I52" s="97" t="e">
        <f>'Analiza nakupa'!$D$5/$C$5</f>
        <v>#DIV/0!</v>
      </c>
      <c r="J52" s="97" t="e">
        <f>'Analiza nakupa'!$D$5/$C$5</f>
        <v>#DIV/0!</v>
      </c>
      <c r="K52" s="97" t="e">
        <f>'Analiza nakupa'!$D$5/$C$5</f>
        <v>#DIV/0!</v>
      </c>
      <c r="L52" s="97" t="e">
        <f>'Analiza nakupa'!$D$5/$C$5</f>
        <v>#DIV/0!</v>
      </c>
      <c r="M52" s="97" t="e">
        <f>'Analiza nakupa'!$D$5/$C$5</f>
        <v>#DIV/0!</v>
      </c>
      <c r="N52" s="124" t="e">
        <f>'Analiza nakupa'!$D$5/N51</f>
        <v>#DIV/0!</v>
      </c>
      <c r="O52" s="93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hidden="1" x14ac:dyDescent="0.3">
      <c r="B53" s="123" t="s">
        <v>6</v>
      </c>
      <c r="C53" s="97">
        <f>'Analiza nakupa'!$D$14</f>
        <v>0</v>
      </c>
      <c r="D53" s="97">
        <f>'Analiza nakupa'!$D$14</f>
        <v>0</v>
      </c>
      <c r="E53" s="97">
        <f>'Analiza nakupa'!$D$14</f>
        <v>0</v>
      </c>
      <c r="F53" s="97">
        <f>'Analiza nakupa'!$D$14</f>
        <v>0</v>
      </c>
      <c r="G53" s="97">
        <f>'Analiza nakupa'!$D$14</f>
        <v>0</v>
      </c>
      <c r="H53" s="97">
        <f>'Analiza nakupa'!$D$14</f>
        <v>0</v>
      </c>
      <c r="I53" s="97">
        <f>'Analiza nakupa'!$D$14</f>
        <v>0</v>
      </c>
      <c r="J53" s="97">
        <f>'Analiza nakupa'!$D$14</f>
        <v>0</v>
      </c>
      <c r="K53" s="97">
        <f>'Analiza nakupa'!$D$14</f>
        <v>0</v>
      </c>
      <c r="L53" s="97">
        <f>'Analiza nakupa'!$D$14</f>
        <v>0</v>
      </c>
      <c r="M53" s="125">
        <f>'Analiza nakupa'!$D$14</f>
        <v>0</v>
      </c>
      <c r="N53" s="124">
        <f>'Analiza nakupa'!$D$14</f>
        <v>0</v>
      </c>
      <c r="O53" s="93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hidden="1" x14ac:dyDescent="0.3">
      <c r="B54" s="123" t="s">
        <v>7</v>
      </c>
      <c r="C54" s="97">
        <f>'Analiza nakupa'!$D$13</f>
        <v>0</v>
      </c>
      <c r="D54" s="97">
        <f>'Analiza nakupa'!$D$13</f>
        <v>0</v>
      </c>
      <c r="E54" s="97">
        <f>'Analiza nakupa'!$D$13</f>
        <v>0</v>
      </c>
      <c r="F54" s="97">
        <f>'Analiza nakupa'!$D$13</f>
        <v>0</v>
      </c>
      <c r="G54" s="97">
        <f>'Analiza nakupa'!$D$13</f>
        <v>0</v>
      </c>
      <c r="H54" s="97">
        <f>'Analiza nakupa'!$D$13</f>
        <v>0</v>
      </c>
      <c r="I54" s="97">
        <f>'Analiza nakupa'!$D$13</f>
        <v>0</v>
      </c>
      <c r="J54" s="97">
        <f>'Analiza nakupa'!$D$13</f>
        <v>0</v>
      </c>
      <c r="K54" s="97">
        <f>'Analiza nakupa'!$D$13</f>
        <v>0</v>
      </c>
      <c r="L54" s="97">
        <f>'Analiza nakupa'!$D$13</f>
        <v>0</v>
      </c>
      <c r="M54" s="97">
        <f>'Analiza nakupa'!$D$13</f>
        <v>0</v>
      </c>
      <c r="N54" s="124">
        <f>'Analiza nakupa'!$D$13</f>
        <v>0</v>
      </c>
      <c r="O54" s="93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idden="1" x14ac:dyDescent="0.3">
      <c r="B55" s="123" t="s">
        <v>8</v>
      </c>
      <c r="C55" s="97" t="e">
        <f>SUM(C52:C54)</f>
        <v>#DIV/0!</v>
      </c>
      <c r="D55" s="97" t="e">
        <f t="shared" ref="D55:M55" si="6">SUM(D52:D54)</f>
        <v>#DIV/0!</v>
      </c>
      <c r="E55" s="97" t="e">
        <f t="shared" si="6"/>
        <v>#DIV/0!</v>
      </c>
      <c r="F55" s="97" t="e">
        <f t="shared" si="6"/>
        <v>#DIV/0!</v>
      </c>
      <c r="G55" s="97" t="e">
        <f t="shared" si="6"/>
        <v>#DIV/0!</v>
      </c>
      <c r="H55" s="97" t="e">
        <f t="shared" si="6"/>
        <v>#DIV/0!</v>
      </c>
      <c r="I55" s="97" t="e">
        <f t="shared" si="6"/>
        <v>#DIV/0!</v>
      </c>
      <c r="J55" s="97" t="e">
        <f t="shared" si="6"/>
        <v>#DIV/0!</v>
      </c>
      <c r="K55" s="97" t="e">
        <f t="shared" si="6"/>
        <v>#DIV/0!</v>
      </c>
      <c r="L55" s="97" t="e">
        <f t="shared" si="6"/>
        <v>#DIV/0!</v>
      </c>
      <c r="M55" s="97" t="e">
        <f t="shared" si="6"/>
        <v>#DIV/0!</v>
      </c>
      <c r="N55" s="124" t="e">
        <f>SUM(N52:N54)</f>
        <v>#DIV/0!</v>
      </c>
      <c r="O55" s="93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 x14ac:dyDescent="0.3">
      <c r="B56" s="123" t="s">
        <v>11</v>
      </c>
      <c r="C56" s="97">
        <f>'Analiza nakupa'!$D$8</f>
        <v>0</v>
      </c>
      <c r="D56" s="97">
        <f>'Analiza nakupa'!$D$8</f>
        <v>0</v>
      </c>
      <c r="E56" s="97">
        <f>'Analiza nakupa'!$D$8</f>
        <v>0</v>
      </c>
      <c r="F56" s="97">
        <f>'Analiza nakupa'!$D$8</f>
        <v>0</v>
      </c>
      <c r="G56" s="97">
        <f>'Analiza nakupa'!$D$8</f>
        <v>0</v>
      </c>
      <c r="H56" s="97">
        <f>'Analiza nakupa'!$D$8</f>
        <v>0</v>
      </c>
      <c r="I56" s="97">
        <f>'Analiza nakupa'!$D$8</f>
        <v>0</v>
      </c>
      <c r="J56" s="97">
        <f>'Analiza nakupa'!$D$8</f>
        <v>0</v>
      </c>
      <c r="K56" s="97">
        <f>'Analiza nakupa'!$D$8</f>
        <v>0</v>
      </c>
      <c r="L56" s="97">
        <f>'Analiza nakupa'!$D$8</f>
        <v>0</v>
      </c>
      <c r="M56" s="97">
        <f>'Analiza nakupa'!$D$8</f>
        <v>0</v>
      </c>
      <c r="N56" s="124">
        <f>'Analiza nakupa'!$D$8</f>
        <v>0</v>
      </c>
      <c r="O56" s="93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</row>
    <row r="57" spans="1:29" x14ac:dyDescent="0.3">
      <c r="A57" s="126"/>
      <c r="B57" s="123" t="s">
        <v>73</v>
      </c>
      <c r="C57" s="97" t="str">
        <f>IF(C$49="ni podatka","ni podatka",C55/C50)</f>
        <v>ni podatka</v>
      </c>
      <c r="D57" s="97" t="str">
        <f t="shared" ref="D57:M57" si="7">IF(D$49="ni podatka","ni podatka",D55/D50)</f>
        <v>ni podatka</v>
      </c>
      <c r="E57" s="97" t="str">
        <f t="shared" si="7"/>
        <v>ni podatka</v>
      </c>
      <c r="F57" s="97" t="str">
        <f t="shared" si="7"/>
        <v>ni podatka</v>
      </c>
      <c r="G57" s="97" t="str">
        <f t="shared" si="7"/>
        <v>ni podatka</v>
      </c>
      <c r="H57" s="97" t="str">
        <f t="shared" si="7"/>
        <v>ni podatka</v>
      </c>
      <c r="I57" s="97" t="str">
        <f t="shared" si="7"/>
        <v>ni podatka</v>
      </c>
      <c r="J57" s="97" t="str">
        <f t="shared" si="7"/>
        <v>ni podatka</v>
      </c>
      <c r="K57" s="97" t="str">
        <f t="shared" si="7"/>
        <v>ni podatka</v>
      </c>
      <c r="L57" s="97" t="str">
        <f t="shared" si="7"/>
        <v>ni podatka</v>
      </c>
      <c r="M57" s="97" t="str">
        <f t="shared" si="7"/>
        <v>ni podatka</v>
      </c>
      <c r="N57" s="124" t="str">
        <f t="shared" ref="N57" si="8">IF(N$49="ni podatka","ni podatka",N55/N50)</f>
        <v>ni podatka</v>
      </c>
      <c r="O57" s="93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</row>
    <row r="58" spans="1:29" x14ac:dyDescent="0.3">
      <c r="A58" s="127"/>
      <c r="B58" s="118" t="s">
        <v>12</v>
      </c>
      <c r="C58" s="129" t="str">
        <f>IF(C$49="ni podatka","ni podatka",C56-C57)</f>
        <v>ni podatka</v>
      </c>
      <c r="D58" s="129" t="str">
        <f t="shared" ref="D58:M58" si="9">IF(D$49="ni podatka","ni podatka",D56-D57)</f>
        <v>ni podatka</v>
      </c>
      <c r="E58" s="129" t="str">
        <f t="shared" si="9"/>
        <v>ni podatka</v>
      </c>
      <c r="F58" s="129" t="str">
        <f t="shared" si="9"/>
        <v>ni podatka</v>
      </c>
      <c r="G58" s="129" t="str">
        <f t="shared" si="9"/>
        <v>ni podatka</v>
      </c>
      <c r="H58" s="129" t="str">
        <f t="shared" si="9"/>
        <v>ni podatka</v>
      </c>
      <c r="I58" s="129" t="str">
        <f t="shared" si="9"/>
        <v>ni podatka</v>
      </c>
      <c r="J58" s="129" t="str">
        <f t="shared" si="9"/>
        <v>ni podatka</v>
      </c>
      <c r="K58" s="129" t="str">
        <f t="shared" si="9"/>
        <v>ni podatka</v>
      </c>
      <c r="L58" s="129" t="str">
        <f t="shared" si="9"/>
        <v>ni podatka</v>
      </c>
      <c r="M58" s="129" t="str">
        <f t="shared" si="9"/>
        <v>ni podatka</v>
      </c>
      <c r="N58" s="131" t="str">
        <f t="shared" ref="N58" si="10">IF(N$49="ni podatka","ni podatka",N56-N57)</f>
        <v>ni podatka</v>
      </c>
      <c r="O58" s="93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</row>
    <row r="59" spans="1:29" ht="15" thickBot="1" x14ac:dyDescent="0.35">
      <c r="A59" s="127"/>
      <c r="B59" s="229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93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</row>
    <row r="60" spans="1:29" ht="15" thickBot="1" x14ac:dyDescent="0.35">
      <c r="B60" s="132" t="s">
        <v>77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117" t="s">
        <v>71</v>
      </c>
      <c r="O60" s="93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  <row r="61" spans="1:29" x14ac:dyDescent="0.3">
      <c r="B61" s="118" t="s">
        <v>61</v>
      </c>
      <c r="C61" s="119" t="str">
        <f>IF(OR('Analiza nakupa'!H$67=0,'Analiza nakupa'!H$67=""),"ni podatka",'Analiza nakupa'!H$67)</f>
        <v>ni podatka</v>
      </c>
      <c r="D61" s="119" t="str">
        <f>IF(OR('Analiza nakupa'!H$68=0,'Analiza nakupa'!H$68=""),"ni podatka",'Analiza nakupa'!H$68)</f>
        <v>ni podatka</v>
      </c>
      <c r="E61" s="119" t="str">
        <f>IF(OR('Analiza nakupa'!H$69=0,'Analiza nakupa'!H$69=""),"ni podatka",'Analiza nakupa'!H$69)</f>
        <v>ni podatka</v>
      </c>
      <c r="F61" s="119" t="str">
        <f>IF(OR('Analiza nakupa'!H$70=0,'Analiza nakupa'!H$70=""),"ni podatka",'Analiza nakupa'!H$70)</f>
        <v>ni podatka</v>
      </c>
      <c r="G61" s="119" t="str">
        <f>IF(OR('Analiza nakupa'!H$71=0,'Analiza nakupa'!H$71=""),"ni podatka",'Analiza nakupa'!H$71)</f>
        <v>ni podatka</v>
      </c>
      <c r="H61" s="119" t="str">
        <f>IF(OR('Analiza nakupa'!H$72=0,'Analiza nakupa'!H$72=""),"ni podatka",'Analiza nakupa'!H$72)</f>
        <v>ni podatka</v>
      </c>
      <c r="I61" s="119" t="str">
        <f>IF(OR('Analiza nakupa'!H$73=0,'Analiza nakupa'!H$73=""),"ni podatka",'Analiza nakupa'!H$73)</f>
        <v>ni podatka</v>
      </c>
      <c r="J61" s="119" t="str">
        <f>IF(OR('Analiza nakupa'!H$74=0,'Analiza nakupa'!H$74=""),"ni podatka",'Analiza nakupa'!H$74)</f>
        <v>ni podatka</v>
      </c>
      <c r="K61" s="119" t="str">
        <f>IF(OR('Analiza nakupa'!H$75=0,'Analiza nakupa'!H$75=""),"ni podatka",'Analiza nakupa'!H$75)</f>
        <v>ni podatka</v>
      </c>
      <c r="L61" s="119" t="str">
        <f>IF(OR('Analiza nakupa'!H$76=0,'Analiza nakupa'!H$76=""),"ni podatka",'Analiza nakupa'!H$76)</f>
        <v>ni podatka</v>
      </c>
      <c r="M61" s="119" t="str">
        <f>IF(OR('Analiza nakupa'!H$77=0,'Analiza nakupa'!H$77=""),"ni podatka",'Analiza nakupa'!H$77)</f>
        <v>ni podatka</v>
      </c>
      <c r="N61" s="120" t="str">
        <f>IFERROR(Izračuni!H30,"ni podatka")</f>
        <v>ni podatka</v>
      </c>
      <c r="O61" s="93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</row>
    <row r="62" spans="1:29" hidden="1" x14ac:dyDescent="0.3">
      <c r="B62" s="118" t="s">
        <v>61</v>
      </c>
      <c r="C62" s="119" t="e">
        <f>IF(OR('Analiza nakupa'!H$67=0,'Analiza nakupa'!H$67=""),NA(),'Analiza nakupa'!H$67)</f>
        <v>#N/A</v>
      </c>
      <c r="D62" s="119" t="e">
        <f>IF(OR('Analiza nakupa'!H$68=0,'Analiza nakupa'!H$68=""),NA(),'Analiza nakupa'!H$68)</f>
        <v>#N/A</v>
      </c>
      <c r="E62" s="119" t="e">
        <f>IF(OR('Analiza nakupa'!H$69=0,'Analiza nakupa'!H$69=""),NA(),'Analiza nakupa'!H$69)</f>
        <v>#N/A</v>
      </c>
      <c r="F62" s="119" t="e">
        <f>IF(OR('Analiza nakupa'!H$70=0,'Analiza nakupa'!H$70=""),NA(),'Analiza nakupa'!H$70)</f>
        <v>#N/A</v>
      </c>
      <c r="G62" s="119" t="e">
        <f>IF(OR('Analiza nakupa'!H$71=0,'Analiza nakupa'!H$71=""),NA(),'Analiza nakupa'!H$71)</f>
        <v>#N/A</v>
      </c>
      <c r="H62" s="119" t="e">
        <f>IF(OR('Analiza nakupa'!H$72=0,'Analiza nakupa'!H$72=""),NA(),'Analiza nakupa'!H$72)</f>
        <v>#N/A</v>
      </c>
      <c r="I62" s="119" t="e">
        <f>IF(OR('Analiza nakupa'!H$73=0,'Analiza nakupa'!H$73=""),NA(),'Analiza nakupa'!H$73)</f>
        <v>#N/A</v>
      </c>
      <c r="J62" s="119" t="e">
        <f>IF(OR('Analiza nakupa'!H$74=0,'Analiza nakupa'!H$74=""),NA(),'Analiza nakupa'!H$74)</f>
        <v>#N/A</v>
      </c>
      <c r="K62" s="119" t="e">
        <f>IF(OR('Analiza nakupa'!H$75=0,'Analiza nakupa'!H$75=""),NA(),'Analiza nakupa'!H$75)</f>
        <v>#N/A</v>
      </c>
      <c r="L62" s="119" t="e">
        <f>IF(OR('Analiza nakupa'!H$76=0,'Analiza nakupa'!H$76=""),NA(),'Analiza nakupa'!H$76)</f>
        <v>#N/A</v>
      </c>
      <c r="M62" s="119" t="e">
        <f>IF(OR('Analiza nakupa'!H$77=0,'Analiza nakupa'!H$77=""),NA(),'Analiza nakupa'!H$77)</f>
        <v>#N/A</v>
      </c>
      <c r="N62" s="120" t="e">
        <f>Izračuni!H30</f>
        <v>#DIV/0!</v>
      </c>
      <c r="O62" s="93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</row>
    <row r="63" spans="1:29" x14ac:dyDescent="0.3">
      <c r="B63" s="118" t="s">
        <v>75</v>
      </c>
      <c r="C63" s="119">
        <f>'Analiza nakupa'!$D$6</f>
        <v>0</v>
      </c>
      <c r="D63" s="119">
        <f>'Analiza nakupa'!$D$6</f>
        <v>0</v>
      </c>
      <c r="E63" s="119">
        <f>'Analiza nakupa'!$D$6</f>
        <v>0</v>
      </c>
      <c r="F63" s="119">
        <f>'Analiza nakupa'!$D$6</f>
        <v>0</v>
      </c>
      <c r="G63" s="119">
        <f>'Analiza nakupa'!$D$6</f>
        <v>0</v>
      </c>
      <c r="H63" s="119">
        <f>'Analiza nakupa'!$D$6</f>
        <v>0</v>
      </c>
      <c r="I63" s="119">
        <f>'Analiza nakupa'!$D$6</f>
        <v>0</v>
      </c>
      <c r="J63" s="119">
        <f>'Analiza nakupa'!$D$6</f>
        <v>0</v>
      </c>
      <c r="K63" s="119">
        <f>'Analiza nakupa'!$D$6</f>
        <v>0</v>
      </c>
      <c r="L63" s="119">
        <f>'Analiza nakupa'!$D$6</f>
        <v>0</v>
      </c>
      <c r="M63" s="119">
        <f>'Analiza nakupa'!$D$6</f>
        <v>0</v>
      </c>
      <c r="N63" s="118">
        <f>'Analiza nakupa'!$D$6</f>
        <v>0</v>
      </c>
      <c r="O63" s="93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</row>
    <row r="64" spans="1:29" hidden="1" x14ac:dyDescent="0.3">
      <c r="B64" s="123" t="s">
        <v>5</v>
      </c>
      <c r="C64" s="97">
        <f>Izračuni!$H$7</f>
        <v>0</v>
      </c>
      <c r="D64" s="97">
        <f>Izračuni!$H$7</f>
        <v>0</v>
      </c>
      <c r="E64" s="97">
        <f>Izračuni!$H$7</f>
        <v>0</v>
      </c>
      <c r="F64" s="97">
        <f>Izračuni!$H$7</f>
        <v>0</v>
      </c>
      <c r="G64" s="97">
        <f>Izračuni!$H$7</f>
        <v>0</v>
      </c>
      <c r="H64" s="97">
        <f>Izračuni!$H$7</f>
        <v>0</v>
      </c>
      <c r="I64" s="97">
        <f>Izračuni!$H$7</f>
        <v>0</v>
      </c>
      <c r="J64" s="97">
        <f>Izračuni!$H$7</f>
        <v>0</v>
      </c>
      <c r="K64" s="97">
        <f>Izračuni!$H$7</f>
        <v>0</v>
      </c>
      <c r="L64" s="97">
        <f>Izračuni!$H$7</f>
        <v>0</v>
      </c>
      <c r="M64" s="97">
        <f>Izračuni!$H$7</f>
        <v>0</v>
      </c>
      <c r="N64" s="97">
        <f>Izračuni!$H$7</f>
        <v>0</v>
      </c>
      <c r="O64" s="93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</row>
    <row r="65" spans="1:29" hidden="1" x14ac:dyDescent="0.3">
      <c r="B65" s="123" t="s">
        <v>6</v>
      </c>
      <c r="C65" s="97">
        <f>Izračuni!$H$8</f>
        <v>0</v>
      </c>
      <c r="D65" s="97">
        <f>Izračuni!$H$8</f>
        <v>0</v>
      </c>
      <c r="E65" s="97">
        <f>Izračuni!$H$8</f>
        <v>0</v>
      </c>
      <c r="F65" s="97">
        <f>Izračuni!$H$8</f>
        <v>0</v>
      </c>
      <c r="G65" s="97">
        <f>Izračuni!$H$8</f>
        <v>0</v>
      </c>
      <c r="H65" s="97">
        <f>Izračuni!$H$8</f>
        <v>0</v>
      </c>
      <c r="I65" s="97">
        <f>Izračuni!$H$8</f>
        <v>0</v>
      </c>
      <c r="J65" s="97">
        <f>Izračuni!$H$8</f>
        <v>0</v>
      </c>
      <c r="K65" s="97">
        <f>Izračuni!$H$8</f>
        <v>0</v>
      </c>
      <c r="L65" s="97">
        <f>Izračuni!$H$8</f>
        <v>0</v>
      </c>
      <c r="M65" s="97">
        <f>Izračuni!$H$8</f>
        <v>0</v>
      </c>
      <c r="N65" s="97">
        <f>Izračuni!$H$8</f>
        <v>0</v>
      </c>
      <c r="O65" s="122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</row>
    <row r="66" spans="1:29" hidden="1" x14ac:dyDescent="0.3">
      <c r="B66" s="123" t="s">
        <v>7</v>
      </c>
      <c r="C66" s="97">
        <f>Izračuni!$H$9</f>
        <v>0</v>
      </c>
      <c r="D66" s="97">
        <f>Izračuni!$H$9</f>
        <v>0</v>
      </c>
      <c r="E66" s="97">
        <f>Izračuni!$H$9</f>
        <v>0</v>
      </c>
      <c r="F66" s="97">
        <f>Izračuni!$H$9</f>
        <v>0</v>
      </c>
      <c r="G66" s="97">
        <f>Izračuni!$H$9</f>
        <v>0</v>
      </c>
      <c r="H66" s="97">
        <f>Izračuni!$H$9</f>
        <v>0</v>
      </c>
      <c r="I66" s="97">
        <f>Izračuni!$H$9</f>
        <v>0</v>
      </c>
      <c r="J66" s="97">
        <f>Izračuni!$H$9</f>
        <v>0</v>
      </c>
      <c r="K66" s="97">
        <f>Izračuni!$H$9</f>
        <v>0</v>
      </c>
      <c r="L66" s="97">
        <f>Izračuni!$H$9</f>
        <v>0</v>
      </c>
      <c r="M66" s="97">
        <f>Izračuni!$H$9</f>
        <v>0</v>
      </c>
      <c r="N66" s="97">
        <f>Izračuni!$H$9</f>
        <v>0</v>
      </c>
      <c r="O66" s="122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</row>
    <row r="67" spans="1:29" hidden="1" x14ac:dyDescent="0.3">
      <c r="B67" s="123" t="s">
        <v>8</v>
      </c>
      <c r="C67" s="97">
        <f>SUM(C64:C66)</f>
        <v>0</v>
      </c>
      <c r="D67" s="97">
        <f t="shared" ref="D67:N67" si="11">SUM(D64:D66)</f>
        <v>0</v>
      </c>
      <c r="E67" s="97">
        <f t="shared" si="11"/>
        <v>0</v>
      </c>
      <c r="F67" s="97">
        <f t="shared" si="11"/>
        <v>0</v>
      </c>
      <c r="G67" s="97">
        <f t="shared" si="11"/>
        <v>0</v>
      </c>
      <c r="H67" s="97">
        <f t="shared" si="11"/>
        <v>0</v>
      </c>
      <c r="I67" s="97">
        <f t="shared" si="11"/>
        <v>0</v>
      </c>
      <c r="J67" s="97">
        <f t="shared" si="11"/>
        <v>0</v>
      </c>
      <c r="K67" s="97">
        <f t="shared" si="11"/>
        <v>0</v>
      </c>
      <c r="L67" s="97">
        <f t="shared" si="11"/>
        <v>0</v>
      </c>
      <c r="M67" s="97">
        <f t="shared" si="11"/>
        <v>0</v>
      </c>
      <c r="N67" s="97">
        <f t="shared" si="11"/>
        <v>0</v>
      </c>
      <c r="O67" s="122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</row>
    <row r="68" spans="1:29" x14ac:dyDescent="0.3">
      <c r="B68" s="123" t="s">
        <v>11</v>
      </c>
      <c r="C68" s="97">
        <f>'Analiza nakupa'!$D$8</f>
        <v>0</v>
      </c>
      <c r="D68" s="97">
        <f>'Analiza nakupa'!$D$8</f>
        <v>0</v>
      </c>
      <c r="E68" s="97">
        <f>'Analiza nakupa'!$D$8</f>
        <v>0</v>
      </c>
      <c r="F68" s="97">
        <f>'Analiza nakupa'!$D$8</f>
        <v>0</v>
      </c>
      <c r="G68" s="97">
        <f>'Analiza nakupa'!$D$8</f>
        <v>0</v>
      </c>
      <c r="H68" s="97">
        <f>'Analiza nakupa'!$D$8</f>
        <v>0</v>
      </c>
      <c r="I68" s="97">
        <f>'Analiza nakupa'!$D$8</f>
        <v>0</v>
      </c>
      <c r="J68" s="97">
        <f>'Analiza nakupa'!$D$8</f>
        <v>0</v>
      </c>
      <c r="K68" s="97">
        <f>'Analiza nakupa'!$D$8</f>
        <v>0</v>
      </c>
      <c r="L68" s="97">
        <f>'Analiza nakupa'!$D$8</f>
        <v>0</v>
      </c>
      <c r="M68" s="97">
        <f>'Analiza nakupa'!$D$8</f>
        <v>0</v>
      </c>
      <c r="N68" s="124">
        <f>'Analiza nakupa'!$D$8</f>
        <v>0</v>
      </c>
      <c r="O68" s="122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</row>
    <row r="69" spans="1:29" x14ac:dyDescent="0.3">
      <c r="A69" s="126"/>
      <c r="B69" s="123" t="s">
        <v>73</v>
      </c>
      <c r="C69" s="97" t="str">
        <f>IF(C$61="ni podatka","ni podatka",C67/C62)</f>
        <v>ni podatka</v>
      </c>
      <c r="D69" s="97" t="str">
        <f t="shared" ref="D69:M69" si="12">IF(D$61="ni podatka","ni podatka",D67/D62)</f>
        <v>ni podatka</v>
      </c>
      <c r="E69" s="97" t="str">
        <f t="shared" si="12"/>
        <v>ni podatka</v>
      </c>
      <c r="F69" s="97" t="str">
        <f t="shared" si="12"/>
        <v>ni podatka</v>
      </c>
      <c r="G69" s="97" t="str">
        <f t="shared" si="12"/>
        <v>ni podatka</v>
      </c>
      <c r="H69" s="97" t="str">
        <f t="shared" si="12"/>
        <v>ni podatka</v>
      </c>
      <c r="I69" s="97" t="str">
        <f t="shared" si="12"/>
        <v>ni podatka</v>
      </c>
      <c r="J69" s="97" t="str">
        <f t="shared" si="12"/>
        <v>ni podatka</v>
      </c>
      <c r="K69" s="97" t="str">
        <f t="shared" si="12"/>
        <v>ni podatka</v>
      </c>
      <c r="L69" s="97" t="str">
        <f t="shared" si="12"/>
        <v>ni podatka</v>
      </c>
      <c r="M69" s="97" t="str">
        <f t="shared" si="12"/>
        <v>ni podatka</v>
      </c>
      <c r="N69" s="124" t="str">
        <f t="shared" ref="N69" si="13">IF(N$61="ni podatka","ni podatka",N67/N62)</f>
        <v>ni podatka</v>
      </c>
      <c r="O69" s="122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</row>
    <row r="70" spans="1:29" x14ac:dyDescent="0.3">
      <c r="A70" s="127"/>
      <c r="B70" s="118" t="s">
        <v>12</v>
      </c>
      <c r="C70" s="129" t="str">
        <f>IF(C$61="ni podatka","ni podatka",C68-C69)</f>
        <v>ni podatka</v>
      </c>
      <c r="D70" s="129" t="str">
        <f t="shared" ref="D70:M70" si="14">IF(D$61="ni podatka","ni podatka",D68-D69)</f>
        <v>ni podatka</v>
      </c>
      <c r="E70" s="129" t="str">
        <f t="shared" si="14"/>
        <v>ni podatka</v>
      </c>
      <c r="F70" s="129" t="str">
        <f t="shared" si="14"/>
        <v>ni podatka</v>
      </c>
      <c r="G70" s="129" t="str">
        <f t="shared" si="14"/>
        <v>ni podatka</v>
      </c>
      <c r="H70" s="129" t="str">
        <f t="shared" si="14"/>
        <v>ni podatka</v>
      </c>
      <c r="I70" s="129" t="str">
        <f t="shared" si="14"/>
        <v>ni podatka</v>
      </c>
      <c r="J70" s="129" t="str">
        <f t="shared" si="14"/>
        <v>ni podatka</v>
      </c>
      <c r="K70" s="129" t="str">
        <f t="shared" si="14"/>
        <v>ni podatka</v>
      </c>
      <c r="L70" s="129" t="str">
        <f t="shared" si="14"/>
        <v>ni podatka</v>
      </c>
      <c r="M70" s="129" t="str">
        <f t="shared" si="14"/>
        <v>ni podatka</v>
      </c>
      <c r="N70" s="131" t="str">
        <f t="shared" ref="N70" si="15">IF(N$61="ni podatka","ni podatka",N68-N69)</f>
        <v>ni podatka</v>
      </c>
      <c r="O70" s="122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</row>
    <row r="71" spans="1:29" x14ac:dyDescent="0.3">
      <c r="B71" s="94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93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</row>
    <row r="72" spans="1:29" x14ac:dyDescent="0.3">
      <c r="B72" s="94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93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</row>
    <row r="73" spans="1:29" x14ac:dyDescent="0.3">
      <c r="B73" s="94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93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</row>
    <row r="74" spans="1:29" x14ac:dyDescent="0.3">
      <c r="B74" s="94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93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</row>
    <row r="75" spans="1:29" x14ac:dyDescent="0.3">
      <c r="B75" s="94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93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x14ac:dyDescent="0.3">
      <c r="B76" s="94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93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</row>
    <row r="77" spans="1:29" x14ac:dyDescent="0.3">
      <c r="B77" s="94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93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</row>
    <row r="78" spans="1:29" x14ac:dyDescent="0.3">
      <c r="B78" s="94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93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</row>
    <row r="79" spans="1:29" x14ac:dyDescent="0.3">
      <c r="B79" s="94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93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</row>
    <row r="80" spans="1:29" x14ac:dyDescent="0.3">
      <c r="B80" s="94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93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  <row r="81" spans="2:29" x14ac:dyDescent="0.3">
      <c r="B81" s="94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93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</row>
    <row r="82" spans="2:29" x14ac:dyDescent="0.3">
      <c r="B82" s="94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93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</row>
    <row r="83" spans="2:29" x14ac:dyDescent="0.3">
      <c r="B83" s="94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93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</row>
    <row r="84" spans="2:29" x14ac:dyDescent="0.3">
      <c r="B84" s="94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93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</row>
    <row r="85" spans="2:29" x14ac:dyDescent="0.3">
      <c r="B85" s="94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93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</row>
    <row r="86" spans="2:29" x14ac:dyDescent="0.3">
      <c r="B86" s="94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93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</row>
    <row r="87" spans="2:29" x14ac:dyDescent="0.3">
      <c r="B87" s="94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93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</row>
    <row r="88" spans="2:29" x14ac:dyDescent="0.3">
      <c r="B88" s="94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93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</row>
    <row r="89" spans="2:29" x14ac:dyDescent="0.3">
      <c r="B89" s="94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93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</row>
    <row r="90" spans="2:29" x14ac:dyDescent="0.3">
      <c r="B90" s="94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93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</row>
    <row r="91" spans="2:29" x14ac:dyDescent="0.3">
      <c r="B91" s="94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93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</row>
    <row r="92" spans="2:29" ht="15" thickBot="1" x14ac:dyDescent="0.35"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5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</row>
    <row r="93" spans="2:29" s="89" customFormat="1" x14ac:dyDescent="0.3"/>
    <row r="94" spans="2:29" s="89" customFormat="1" x14ac:dyDescent="0.3"/>
    <row r="95" spans="2:29" s="89" customFormat="1" x14ac:dyDescent="0.3"/>
    <row r="96" spans="2:29" s="89" customFormat="1" x14ac:dyDescent="0.3"/>
    <row r="97" s="89" customFormat="1" x14ac:dyDescent="0.3"/>
    <row r="98" s="89" customFormat="1" x14ac:dyDescent="0.3"/>
    <row r="99" s="89" customFormat="1" x14ac:dyDescent="0.3"/>
    <row r="100" s="89" customFormat="1" x14ac:dyDescent="0.3"/>
    <row r="101" s="89" customFormat="1" x14ac:dyDescent="0.3"/>
    <row r="102" s="89" customFormat="1" x14ac:dyDescent="0.3"/>
    <row r="103" s="89" customFormat="1" x14ac:dyDescent="0.3"/>
    <row r="104" s="89" customFormat="1" x14ac:dyDescent="0.3"/>
    <row r="105" s="89" customFormat="1" x14ac:dyDescent="0.3"/>
    <row r="106" s="89" customFormat="1" x14ac:dyDescent="0.3"/>
    <row r="107" s="89" customFormat="1" x14ac:dyDescent="0.3"/>
    <row r="108" s="89" customFormat="1" x14ac:dyDescent="0.3"/>
    <row r="109" s="89" customFormat="1" x14ac:dyDescent="0.3"/>
    <row r="110" s="89" customFormat="1" x14ac:dyDescent="0.3"/>
    <row r="111" s="89" customFormat="1" x14ac:dyDescent="0.3"/>
    <row r="112" s="89" customFormat="1" x14ac:dyDescent="0.3"/>
    <row r="113" s="89" customFormat="1" x14ac:dyDescent="0.3"/>
    <row r="114" s="89" customFormat="1" x14ac:dyDescent="0.3"/>
    <row r="115" s="89" customFormat="1" x14ac:dyDescent="0.3"/>
    <row r="116" s="89" customFormat="1" x14ac:dyDescent="0.3"/>
    <row r="117" s="89" customFormat="1" x14ac:dyDescent="0.3"/>
    <row r="118" s="89" customFormat="1" x14ac:dyDescent="0.3"/>
    <row r="119" s="89" customFormat="1" x14ac:dyDescent="0.3"/>
    <row r="120" s="89" customFormat="1" x14ac:dyDescent="0.3"/>
    <row r="121" s="89" customFormat="1" x14ac:dyDescent="0.3"/>
    <row r="122" s="133" customFormat="1" x14ac:dyDescent="0.3"/>
    <row r="123" s="89" customFormat="1" x14ac:dyDescent="0.3"/>
    <row r="124" s="89" customFormat="1" x14ac:dyDescent="0.3"/>
    <row r="125" s="89" customFormat="1" x14ac:dyDescent="0.3"/>
    <row r="126" s="89" customFormat="1" x14ac:dyDescent="0.3"/>
    <row r="127" s="89" customFormat="1" x14ac:dyDescent="0.3"/>
    <row r="128" s="89" customFormat="1" x14ac:dyDescent="0.3"/>
    <row r="129" s="89" customFormat="1" x14ac:dyDescent="0.3"/>
    <row r="130" s="89" customFormat="1" x14ac:dyDescent="0.3"/>
    <row r="131" s="89" customFormat="1" x14ac:dyDescent="0.3"/>
    <row r="132" s="89" customFormat="1" x14ac:dyDescent="0.3"/>
    <row r="133" s="89" customFormat="1" x14ac:dyDescent="0.3"/>
    <row r="134" s="89" customFormat="1" x14ac:dyDescent="0.3"/>
    <row r="135" s="89" customFormat="1" x14ac:dyDescent="0.3"/>
    <row r="136" s="89" customFormat="1" x14ac:dyDescent="0.3"/>
    <row r="137" s="89" customFormat="1" x14ac:dyDescent="0.3"/>
    <row r="138" s="89" customFormat="1" x14ac:dyDescent="0.3"/>
    <row r="139" s="89" customFormat="1" x14ac:dyDescent="0.3"/>
    <row r="140" s="89" customFormat="1" x14ac:dyDescent="0.3"/>
    <row r="141" s="89" customFormat="1" x14ac:dyDescent="0.3"/>
    <row r="142" s="89" customFormat="1" x14ac:dyDescent="0.3"/>
    <row r="143" s="89" customFormat="1" x14ac:dyDescent="0.3"/>
    <row r="144" s="89" customFormat="1" x14ac:dyDescent="0.3"/>
    <row r="145" s="89" customFormat="1" x14ac:dyDescent="0.3"/>
    <row r="146" s="89" customFormat="1" x14ac:dyDescent="0.3"/>
    <row r="147" s="89" customFormat="1" x14ac:dyDescent="0.3"/>
    <row r="148" s="89" customFormat="1" x14ac:dyDescent="0.3"/>
    <row r="149" s="89" customFormat="1" x14ac:dyDescent="0.3"/>
    <row r="150" s="133" customFormat="1" x14ac:dyDescent="0.3"/>
    <row r="151" s="89" customFormat="1" x14ac:dyDescent="0.3"/>
    <row r="152" s="89" customFormat="1" x14ac:dyDescent="0.3"/>
    <row r="153" s="89" customFormat="1" x14ac:dyDescent="0.3"/>
    <row r="154" s="89" customFormat="1" x14ac:dyDescent="0.3"/>
    <row r="155" s="89" customFormat="1" x14ac:dyDescent="0.3"/>
    <row r="156" s="89" customFormat="1" x14ac:dyDescent="0.3"/>
    <row r="157" s="89" customFormat="1" x14ac:dyDescent="0.3"/>
    <row r="158" s="89" customFormat="1" x14ac:dyDescent="0.3"/>
    <row r="159" s="89" customFormat="1" x14ac:dyDescent="0.3"/>
    <row r="160" s="89" customFormat="1" x14ac:dyDescent="0.3"/>
    <row r="161" s="89" customFormat="1" x14ac:dyDescent="0.3"/>
    <row r="162" s="89" customFormat="1" x14ac:dyDescent="0.3"/>
    <row r="163" s="89" customFormat="1" x14ac:dyDescent="0.3"/>
    <row r="164" s="89" customFormat="1" x14ac:dyDescent="0.3"/>
    <row r="165" s="89" customFormat="1" x14ac:dyDescent="0.3"/>
    <row r="166" s="89" customFormat="1" x14ac:dyDescent="0.3"/>
    <row r="167" s="89" customFormat="1" x14ac:dyDescent="0.3"/>
    <row r="168" s="89" customFormat="1" x14ac:dyDescent="0.3"/>
    <row r="169" s="89" customFormat="1" x14ac:dyDescent="0.3"/>
    <row r="170" s="89" customFormat="1" x14ac:dyDescent="0.3"/>
    <row r="171" s="89" customFormat="1" x14ac:dyDescent="0.3"/>
    <row r="172" s="89" customFormat="1" x14ac:dyDescent="0.3"/>
    <row r="173" s="89" customFormat="1" x14ac:dyDescent="0.3"/>
    <row r="174" s="89" customFormat="1" x14ac:dyDescent="0.3"/>
    <row r="175" s="89" customFormat="1" x14ac:dyDescent="0.3"/>
    <row r="176" s="89" customFormat="1" x14ac:dyDescent="0.3"/>
    <row r="177" s="89" customFormat="1" x14ac:dyDescent="0.3"/>
  </sheetData>
  <sheetProtection algorithmName="SHA-512" hashValue="VAZzMe0Wp30LiMDM+smeRzf2/42+Myzpkp9uGyFjMQ5py9sTmVgmAjSPbXAo76KB3/NJRv8CTK8NwS/yigCaqg==" saltValue="4B9bTXz6OVe7IJQ93ywyRg==" spinCount="100000" sheet="1" objects="1" scenarios="1"/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6C47-663A-409A-B87C-BEA3E6499370}">
  <sheetPr>
    <pageSetUpPr fitToPage="1"/>
  </sheetPr>
  <dimension ref="A1:BQ144"/>
  <sheetViews>
    <sheetView tabSelected="1" zoomScaleNormal="100" workbookViewId="0">
      <selection activeCell="G9" sqref="G9"/>
    </sheetView>
  </sheetViews>
  <sheetFormatPr defaultColWidth="9.109375" defaultRowHeight="14.4" x14ac:dyDescent="0.3"/>
  <cols>
    <col min="1" max="1" width="3" style="89" customWidth="1"/>
    <col min="2" max="2" width="7.6640625" customWidth="1"/>
    <col min="3" max="3" width="21.109375" bestFit="1" customWidth="1"/>
    <col min="4" max="4" width="14.6640625" bestFit="1" customWidth="1"/>
    <col min="5" max="5" width="15" customWidth="1"/>
    <col min="6" max="6" width="15.77734375" bestFit="1" customWidth="1"/>
    <col min="7" max="7" width="17.33203125" bestFit="1" customWidth="1"/>
    <col min="8" max="8" width="19" bestFit="1" customWidth="1"/>
    <col min="9" max="9" width="16.88671875" bestFit="1" customWidth="1"/>
    <col min="10" max="10" width="14.109375" customWidth="1"/>
    <col min="11" max="11" width="13.77734375" bestFit="1" customWidth="1"/>
    <col min="12" max="13" width="14.109375" hidden="1" customWidth="1"/>
    <col min="14" max="16" width="14.109375" customWidth="1"/>
    <col min="17" max="18" width="14.109375" hidden="1" customWidth="1"/>
    <col min="19" max="19" width="14.109375" customWidth="1"/>
    <col min="20" max="20" width="11.88671875" bestFit="1" customWidth="1"/>
    <col min="21" max="69" width="9.109375" style="89"/>
  </cols>
  <sheetData>
    <row r="1" spans="2:20" s="89" customFormat="1" x14ac:dyDescent="0.3"/>
    <row r="2" spans="2:20" x14ac:dyDescent="0.3">
      <c r="B2" s="90"/>
      <c r="C2" s="91"/>
      <c r="D2" s="91"/>
      <c r="E2" s="91"/>
      <c r="F2" s="91"/>
      <c r="G2" s="91"/>
      <c r="H2" s="92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x14ac:dyDescent="0.3">
      <c r="B3" s="331" t="s">
        <v>78</v>
      </c>
      <c r="C3" s="332"/>
      <c r="D3" s="333"/>
      <c r="E3" s="199"/>
      <c r="F3" s="199"/>
      <c r="G3" s="199"/>
      <c r="H3" s="93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0" x14ac:dyDescent="0.3">
      <c r="B4" s="94"/>
      <c r="C4" s="199"/>
      <c r="D4" s="199"/>
      <c r="E4" s="199"/>
      <c r="F4" s="199"/>
      <c r="G4" s="199"/>
      <c r="H4" s="93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2:20" x14ac:dyDescent="0.3">
      <c r="B5" s="94"/>
      <c r="C5" s="95" t="s">
        <v>79</v>
      </c>
      <c r="D5" s="85"/>
      <c r="E5" s="199"/>
      <c r="F5" s="96" t="s">
        <v>80</v>
      </c>
      <c r="G5" s="180" t="str">
        <f>IF(D8="Nakup",IF(OR(D5=0,D5=""),"ni začetka delovanja",IF(OR(D6=0,D6=""),"ni zaklj. delovanja",E29-F29-D9)),"-")</f>
        <v>ni začetka delovanja</v>
      </c>
      <c r="H5" s="93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2:20" x14ac:dyDescent="0.3">
      <c r="B6" s="94"/>
      <c r="C6" s="95" t="s">
        <v>81</v>
      </c>
      <c r="D6" s="85"/>
      <c r="E6" s="199"/>
      <c r="F6" s="199"/>
      <c r="G6" s="199"/>
      <c r="H6" s="93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2:20" ht="15" thickBot="1" x14ac:dyDescent="0.35">
      <c r="B7" s="94"/>
      <c r="C7" s="95" t="s">
        <v>27</v>
      </c>
      <c r="D7" s="98">
        <f>(D6-D5)/365</f>
        <v>0</v>
      </c>
      <c r="E7" s="3" t="s">
        <v>28</v>
      </c>
      <c r="F7" s="199"/>
      <c r="G7" s="199"/>
      <c r="H7" s="93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2:20" ht="15" thickBot="1" x14ac:dyDescent="0.35">
      <c r="B8" s="94"/>
      <c r="C8" s="2" t="s">
        <v>82</v>
      </c>
      <c r="D8" s="234" t="s">
        <v>0</v>
      </c>
      <c r="E8" s="199"/>
      <c r="F8" s="199"/>
      <c r="G8" s="199"/>
      <c r="H8" s="93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2:20" x14ac:dyDescent="0.3">
      <c r="B9" s="94"/>
      <c r="C9" s="96" t="s">
        <v>26</v>
      </c>
      <c r="D9" s="180">
        <f>'Analiza nakupa'!D5</f>
        <v>0</v>
      </c>
      <c r="E9" s="199"/>
      <c r="F9" s="199"/>
      <c r="G9" s="199"/>
      <c r="H9" s="93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2:20" x14ac:dyDescent="0.3">
      <c r="B10" s="94"/>
      <c r="C10" s="199"/>
      <c r="D10" s="199"/>
      <c r="E10" s="199"/>
      <c r="F10" s="199"/>
      <c r="G10" s="199"/>
      <c r="H10" s="93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2:20" ht="27.75" customHeight="1" x14ac:dyDescent="0.3">
      <c r="B11" s="99" t="s">
        <v>83</v>
      </c>
      <c r="C11" s="31" t="s">
        <v>84</v>
      </c>
      <c r="D11" s="100" t="s">
        <v>85</v>
      </c>
      <c r="E11" s="100" t="s">
        <v>86</v>
      </c>
      <c r="F11" s="101" t="s">
        <v>87</v>
      </c>
      <c r="G11" s="199"/>
      <c r="H11" s="93"/>
      <c r="I11" s="89"/>
      <c r="J11" s="89"/>
      <c r="K11" s="89"/>
      <c r="L11" s="181"/>
      <c r="M11" s="89"/>
      <c r="N11" s="89"/>
      <c r="O11" s="89"/>
      <c r="P11" s="89"/>
      <c r="Q11" s="89"/>
      <c r="R11" s="89"/>
      <c r="S11" s="89"/>
      <c r="T11" s="89"/>
    </row>
    <row r="12" spans="2:20" x14ac:dyDescent="0.3">
      <c r="B12" s="86"/>
      <c r="C12" s="102" t="str">
        <f>IF(B12="","",D5)</f>
        <v/>
      </c>
      <c r="D12" s="87"/>
      <c r="E12" s="88"/>
      <c r="F12" s="88"/>
      <c r="G12" s="199"/>
      <c r="H12" s="93"/>
      <c r="I12" s="89"/>
      <c r="J12" s="150"/>
      <c r="K12" s="89"/>
      <c r="L12" s="89">
        <f>IF(C12&lt;$D$6,1,0)</f>
        <v>0</v>
      </c>
      <c r="M12" s="182">
        <f>MAX(C12:C29)</f>
        <v>0</v>
      </c>
      <c r="N12" s="89"/>
      <c r="O12" s="89"/>
      <c r="P12" s="89"/>
      <c r="Q12" s="89"/>
      <c r="R12" s="89"/>
      <c r="S12" s="89"/>
      <c r="T12" s="89"/>
    </row>
    <row r="13" spans="2:20" x14ac:dyDescent="0.3">
      <c r="B13" s="86"/>
      <c r="C13" s="102" t="str">
        <f>IF(B13&gt;0,DATE(YEAR(C12)+1,MONTH(C12),DAY(C12)),"")</f>
        <v/>
      </c>
      <c r="D13" s="87"/>
      <c r="E13" s="88"/>
      <c r="F13" s="88"/>
      <c r="G13" s="199"/>
      <c r="H13" s="93"/>
      <c r="I13" s="89"/>
      <c r="J13" s="150"/>
      <c r="K13" s="89"/>
      <c r="L13" s="89">
        <f t="shared" ref="L13:L29" si="0">IF(C13&lt;$D$6,1,0)</f>
        <v>0</v>
      </c>
      <c r="M13" s="89"/>
      <c r="N13" s="89"/>
      <c r="O13" s="89"/>
      <c r="P13" s="89"/>
      <c r="Q13" s="89"/>
      <c r="R13" s="89"/>
      <c r="S13" s="89"/>
      <c r="T13" s="89"/>
    </row>
    <row r="14" spans="2:20" x14ac:dyDescent="0.3">
      <c r="B14" s="86"/>
      <c r="C14" s="102" t="str">
        <f t="shared" ref="C14:C28" si="1">IF(B14&gt;0,DATE(YEAR(C13)+1,MONTH(C13),DAY(C13)),"")</f>
        <v/>
      </c>
      <c r="D14" s="87"/>
      <c r="E14" s="88"/>
      <c r="F14" s="88"/>
      <c r="G14" s="199"/>
      <c r="H14" s="93"/>
      <c r="I14" s="89"/>
      <c r="J14" s="150"/>
      <c r="K14" s="89"/>
      <c r="L14" s="89">
        <f t="shared" si="0"/>
        <v>0</v>
      </c>
      <c r="M14" s="89"/>
      <c r="N14" s="89"/>
      <c r="O14" s="89"/>
      <c r="P14" s="89"/>
      <c r="Q14" s="89"/>
      <c r="R14" s="89"/>
      <c r="S14" s="89"/>
      <c r="T14" s="89"/>
    </row>
    <row r="15" spans="2:20" x14ac:dyDescent="0.3">
      <c r="B15" s="86"/>
      <c r="C15" s="102" t="str">
        <f t="shared" si="1"/>
        <v/>
      </c>
      <c r="D15" s="87"/>
      <c r="E15" s="88"/>
      <c r="F15" s="88"/>
      <c r="G15" s="199"/>
      <c r="H15" s="93"/>
      <c r="I15" s="89"/>
      <c r="J15" s="150"/>
      <c r="K15" s="89"/>
      <c r="L15" s="89">
        <f t="shared" si="0"/>
        <v>0</v>
      </c>
      <c r="M15" s="89"/>
      <c r="N15" s="89"/>
      <c r="O15" s="89"/>
      <c r="P15" s="89"/>
      <c r="Q15" s="89"/>
      <c r="R15" s="89"/>
      <c r="S15" s="89"/>
      <c r="T15" s="89"/>
    </row>
    <row r="16" spans="2:20" x14ac:dyDescent="0.3">
      <c r="B16" s="86"/>
      <c r="C16" s="102" t="str">
        <f>IF(B16&gt;0,DATE(YEAR(C15)+1,MONTH(C15),DAY(C15)),"")</f>
        <v/>
      </c>
      <c r="D16" s="87"/>
      <c r="E16" s="88"/>
      <c r="F16" s="88"/>
      <c r="G16" s="199"/>
      <c r="H16" s="93"/>
      <c r="I16" s="89"/>
      <c r="J16" s="150"/>
      <c r="K16" s="89"/>
      <c r="L16" s="89">
        <f t="shared" si="0"/>
        <v>0</v>
      </c>
      <c r="M16" s="89"/>
      <c r="N16" s="89"/>
      <c r="O16" s="89"/>
      <c r="P16" s="89"/>
      <c r="Q16" s="89"/>
      <c r="R16" s="89"/>
      <c r="S16" s="89"/>
      <c r="T16" s="89"/>
    </row>
    <row r="17" spans="2:20" x14ac:dyDescent="0.3">
      <c r="B17" s="86"/>
      <c r="C17" s="102" t="str">
        <f t="shared" si="1"/>
        <v/>
      </c>
      <c r="D17" s="87"/>
      <c r="E17" s="88"/>
      <c r="F17" s="88"/>
      <c r="G17" s="199"/>
      <c r="H17" s="93"/>
      <c r="I17" s="89"/>
      <c r="J17" s="150"/>
      <c r="K17" s="89"/>
      <c r="L17" s="89">
        <f t="shared" si="0"/>
        <v>0</v>
      </c>
      <c r="M17" s="89"/>
      <c r="N17" s="89"/>
      <c r="O17" s="89"/>
      <c r="P17" s="89"/>
      <c r="Q17" s="89"/>
      <c r="R17" s="89"/>
      <c r="S17" s="89"/>
      <c r="T17" s="89"/>
    </row>
    <row r="18" spans="2:20" x14ac:dyDescent="0.3">
      <c r="B18" s="86"/>
      <c r="C18" s="102" t="str">
        <f t="shared" si="1"/>
        <v/>
      </c>
      <c r="D18" s="87"/>
      <c r="E18" s="88"/>
      <c r="F18" s="88"/>
      <c r="G18" s="199"/>
      <c r="H18" s="93"/>
      <c r="I18" s="89"/>
      <c r="J18" s="150"/>
      <c r="K18" s="89"/>
      <c r="L18" s="89">
        <f t="shared" si="0"/>
        <v>0</v>
      </c>
      <c r="M18" s="89"/>
      <c r="N18" s="89"/>
      <c r="O18" s="89"/>
      <c r="P18" s="89"/>
      <c r="Q18" s="89"/>
      <c r="R18" s="89"/>
      <c r="S18" s="89"/>
      <c r="T18" s="89"/>
    </row>
    <row r="19" spans="2:20" x14ac:dyDescent="0.3">
      <c r="B19" s="86"/>
      <c r="C19" s="102" t="str">
        <f t="shared" si="1"/>
        <v/>
      </c>
      <c r="D19" s="87"/>
      <c r="E19" s="88"/>
      <c r="F19" s="88"/>
      <c r="G19" s="199"/>
      <c r="H19" s="93"/>
      <c r="I19" s="89"/>
      <c r="J19" s="150"/>
      <c r="K19" s="89"/>
      <c r="L19" s="89">
        <f t="shared" si="0"/>
        <v>0</v>
      </c>
      <c r="M19" s="89"/>
      <c r="N19" s="89"/>
      <c r="O19" s="89"/>
      <c r="P19" s="89"/>
      <c r="Q19" s="89"/>
      <c r="R19" s="89"/>
      <c r="S19" s="89"/>
      <c r="T19" s="89"/>
    </row>
    <row r="20" spans="2:20" x14ac:dyDescent="0.3">
      <c r="B20" s="86"/>
      <c r="C20" s="102" t="str">
        <f>IF(B20&gt;0,DATE(YEAR(C19)+1,MONTH(C19),DAY(C19)),"")</f>
        <v/>
      </c>
      <c r="D20" s="87"/>
      <c r="E20" s="88"/>
      <c r="F20" s="88"/>
      <c r="G20" s="199"/>
      <c r="H20" s="93"/>
      <c r="I20" s="89"/>
      <c r="J20" s="89"/>
      <c r="K20" s="89"/>
      <c r="L20" s="89">
        <f t="shared" si="0"/>
        <v>0</v>
      </c>
      <c r="M20" s="89"/>
      <c r="N20" s="246"/>
      <c r="O20" s="246"/>
      <c r="P20" s="246"/>
      <c r="Q20" s="89"/>
      <c r="R20" s="89"/>
      <c r="S20" s="89"/>
      <c r="T20" s="89"/>
    </row>
    <row r="21" spans="2:20" x14ac:dyDescent="0.3">
      <c r="B21" s="86"/>
      <c r="C21" s="102" t="str">
        <f t="shared" si="1"/>
        <v/>
      </c>
      <c r="D21" s="87"/>
      <c r="E21" s="88"/>
      <c r="F21" s="88"/>
      <c r="G21" s="199"/>
      <c r="H21" s="93"/>
      <c r="I21" s="89"/>
      <c r="J21" s="89"/>
      <c r="K21" s="89"/>
      <c r="L21" s="89">
        <f t="shared" si="0"/>
        <v>0</v>
      </c>
      <c r="M21" s="89"/>
      <c r="N21" s="89"/>
      <c r="O21" s="89"/>
      <c r="P21" s="89"/>
      <c r="Q21" s="89"/>
      <c r="R21" s="89"/>
      <c r="S21" s="89"/>
      <c r="T21" s="89"/>
    </row>
    <row r="22" spans="2:20" x14ac:dyDescent="0.3">
      <c r="B22" s="86"/>
      <c r="C22" s="102" t="str">
        <f t="shared" si="1"/>
        <v/>
      </c>
      <c r="D22" s="87"/>
      <c r="E22" s="88"/>
      <c r="F22" s="88"/>
      <c r="G22" s="199"/>
      <c r="H22" s="93"/>
      <c r="I22" s="89"/>
      <c r="J22" s="89"/>
      <c r="K22" s="89"/>
      <c r="L22" s="89">
        <f t="shared" si="0"/>
        <v>0</v>
      </c>
      <c r="M22" s="89"/>
      <c r="N22" s="89"/>
      <c r="O22" s="89"/>
      <c r="P22" s="89"/>
      <c r="Q22" s="89"/>
      <c r="R22" s="89"/>
      <c r="S22" s="89"/>
      <c r="T22" s="89"/>
    </row>
    <row r="23" spans="2:20" x14ac:dyDescent="0.3">
      <c r="B23" s="86"/>
      <c r="C23" s="102" t="str">
        <f t="shared" si="1"/>
        <v/>
      </c>
      <c r="D23" s="87"/>
      <c r="E23" s="88"/>
      <c r="F23" s="88"/>
      <c r="G23" s="199"/>
      <c r="H23" s="93"/>
      <c r="I23" s="89"/>
      <c r="J23" s="89"/>
      <c r="K23" s="89"/>
      <c r="L23" s="89">
        <f t="shared" si="0"/>
        <v>0</v>
      </c>
      <c r="M23" s="89"/>
      <c r="N23" s="89"/>
      <c r="O23" s="89"/>
      <c r="P23" s="89"/>
      <c r="Q23" s="89"/>
      <c r="R23" s="89"/>
      <c r="S23" s="89"/>
      <c r="T23" s="89"/>
    </row>
    <row r="24" spans="2:20" x14ac:dyDescent="0.3">
      <c r="B24" s="86"/>
      <c r="C24" s="102" t="str">
        <f t="shared" si="1"/>
        <v/>
      </c>
      <c r="D24" s="87"/>
      <c r="E24" s="88"/>
      <c r="F24" s="88"/>
      <c r="G24" s="199"/>
      <c r="H24" s="93"/>
      <c r="I24" s="89"/>
      <c r="J24" s="89"/>
      <c r="K24" s="89"/>
      <c r="L24" s="89">
        <f t="shared" si="0"/>
        <v>0</v>
      </c>
      <c r="M24" s="89"/>
      <c r="N24" s="89"/>
      <c r="O24" s="89"/>
      <c r="P24" s="89"/>
      <c r="Q24" s="89"/>
      <c r="R24" s="89"/>
      <c r="S24" s="89"/>
      <c r="T24" s="89"/>
    </row>
    <row r="25" spans="2:20" x14ac:dyDescent="0.3">
      <c r="B25" s="86"/>
      <c r="C25" s="102" t="str">
        <f t="shared" si="1"/>
        <v/>
      </c>
      <c r="D25" s="87"/>
      <c r="E25" s="88"/>
      <c r="F25" s="88"/>
      <c r="G25" s="199"/>
      <c r="H25" s="93"/>
      <c r="I25" s="89"/>
      <c r="J25" s="89"/>
      <c r="K25" s="89"/>
      <c r="L25" s="89">
        <f t="shared" si="0"/>
        <v>0</v>
      </c>
      <c r="M25" s="89"/>
      <c r="N25" s="89"/>
      <c r="O25" s="89"/>
      <c r="P25" s="89"/>
      <c r="Q25" s="89"/>
      <c r="R25" s="89"/>
      <c r="S25" s="89"/>
      <c r="T25" s="89"/>
    </row>
    <row r="26" spans="2:20" x14ac:dyDescent="0.3">
      <c r="B26" s="86"/>
      <c r="C26" s="102" t="str">
        <f t="shared" si="1"/>
        <v/>
      </c>
      <c r="D26" s="87"/>
      <c r="E26" s="88"/>
      <c r="F26" s="88"/>
      <c r="G26" s="199"/>
      <c r="H26" s="93"/>
      <c r="I26" s="89"/>
      <c r="J26" s="89"/>
      <c r="K26" s="89"/>
      <c r="L26" s="89">
        <f t="shared" si="0"/>
        <v>0</v>
      </c>
      <c r="M26" s="89"/>
      <c r="N26" s="89"/>
      <c r="O26" s="89"/>
      <c r="P26" s="89"/>
      <c r="Q26" s="89"/>
      <c r="R26" s="89"/>
      <c r="S26" s="89"/>
      <c r="T26" s="89"/>
    </row>
    <row r="27" spans="2:20" x14ac:dyDescent="0.3">
      <c r="B27" s="86"/>
      <c r="C27" s="102" t="str">
        <f t="shared" si="1"/>
        <v/>
      </c>
      <c r="D27" s="87"/>
      <c r="E27" s="88"/>
      <c r="F27" s="88"/>
      <c r="G27" s="199"/>
      <c r="H27" s="93"/>
      <c r="I27" s="89"/>
      <c r="J27" s="89"/>
      <c r="K27" s="89"/>
      <c r="L27" s="89">
        <f t="shared" si="0"/>
        <v>0</v>
      </c>
      <c r="M27" s="89"/>
      <c r="N27" s="89"/>
      <c r="O27" s="89"/>
      <c r="P27" s="89"/>
      <c r="Q27" s="89"/>
      <c r="R27" s="89"/>
      <c r="S27" s="89"/>
      <c r="T27" s="89"/>
    </row>
    <row r="28" spans="2:20" ht="15" thickBot="1" x14ac:dyDescent="0.35">
      <c r="B28" s="184"/>
      <c r="C28" s="102" t="str">
        <f t="shared" si="1"/>
        <v/>
      </c>
      <c r="D28" s="185"/>
      <c r="E28" s="186"/>
      <c r="F28" s="186"/>
      <c r="G28" s="199"/>
      <c r="H28" s="93"/>
      <c r="I28" s="89"/>
      <c r="J28" s="89"/>
      <c r="K28" s="89"/>
      <c r="L28" s="89">
        <f t="shared" si="0"/>
        <v>0</v>
      </c>
      <c r="M28" s="89"/>
      <c r="N28" s="89"/>
      <c r="O28" s="89"/>
      <c r="P28" s="89"/>
      <c r="Q28" s="89"/>
      <c r="R28" s="89"/>
      <c r="S28" s="89"/>
      <c r="T28" s="89"/>
    </row>
    <row r="29" spans="2:20" x14ac:dyDescent="0.3">
      <c r="B29" s="194" t="s">
        <v>8</v>
      </c>
      <c r="C29" s="195" t="s">
        <v>30</v>
      </c>
      <c r="D29" s="196">
        <f>SUM(D12:D28)</f>
        <v>0</v>
      </c>
      <c r="E29" s="196">
        <f>SUM(E12:E28)</f>
        <v>0</v>
      </c>
      <c r="F29" s="196">
        <f t="shared" ref="F29" si="2">SUM(F12:F28)</f>
        <v>0</v>
      </c>
      <c r="G29" s="199"/>
      <c r="H29" s="93"/>
      <c r="I29" s="89"/>
      <c r="J29" s="89"/>
      <c r="K29" s="89"/>
      <c r="L29" s="89">
        <f t="shared" si="0"/>
        <v>0</v>
      </c>
      <c r="M29" s="89"/>
      <c r="N29" s="89"/>
      <c r="O29" s="89"/>
      <c r="P29" s="89"/>
      <c r="Q29" s="89"/>
      <c r="R29" s="89"/>
      <c r="S29" s="89"/>
      <c r="T29" s="89"/>
    </row>
    <row r="30" spans="2:20" ht="15" thickBot="1" x14ac:dyDescent="0.35">
      <c r="B30" s="103"/>
      <c r="C30" s="104"/>
      <c r="D30" s="104"/>
      <c r="E30" s="104"/>
      <c r="F30" s="104"/>
      <c r="G30" s="104"/>
      <c r="H30" s="10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2:20" s="89" customFormat="1" x14ac:dyDescent="0.3"/>
    <row r="32" spans="2:20" x14ac:dyDescent="0.3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89"/>
      <c r="Q32" s="89"/>
      <c r="R32" s="89"/>
      <c r="S32" s="89"/>
      <c r="T32" s="89"/>
    </row>
    <row r="33" spans="2:20" ht="15.75" customHeight="1" x14ac:dyDescent="0.3">
      <c r="B33" s="331" t="s">
        <v>88</v>
      </c>
      <c r="C33" s="332"/>
      <c r="D33" s="333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93"/>
      <c r="P33" s="89"/>
      <c r="Q33" s="89"/>
      <c r="R33" s="89"/>
      <c r="S33" s="89"/>
      <c r="T33" s="89"/>
    </row>
    <row r="34" spans="2:20" x14ac:dyDescent="0.3">
      <c r="B34" s="94"/>
      <c r="C34" s="199"/>
      <c r="D34" s="199"/>
      <c r="E34" s="199"/>
      <c r="F34" s="199"/>
      <c r="G34" s="334" t="str">
        <f>IF(K35&gt;=0,"Oprema je tekom življ. dobe ustvarila presežek prihodkov v primerjavi z načrtovanimi.","Oprema je tekom življ. dobe ustvarila primanjkljaj prihodkov v primerjavi z načrtovanimi.")</f>
        <v>Oprema je tekom življ. dobe ustvarila presežek prihodkov v primerjavi z načrtovanimi.</v>
      </c>
      <c r="H34" s="335"/>
      <c r="I34" s="335"/>
      <c r="J34" s="335"/>
      <c r="K34" s="336"/>
      <c r="L34" s="231"/>
      <c r="M34" s="231"/>
      <c r="N34" s="199"/>
      <c r="O34" s="93"/>
      <c r="P34" s="89"/>
      <c r="Q34" s="89"/>
      <c r="R34" s="89"/>
      <c r="S34" s="89"/>
      <c r="T34" s="89"/>
    </row>
    <row r="35" spans="2:20" x14ac:dyDescent="0.3">
      <c r="B35" s="94"/>
      <c r="C35" s="95" t="s">
        <v>79</v>
      </c>
      <c r="D35" s="106">
        <f>IF(ISNUMBER(D5),D5,DATEVALUE("1.1.2018"))</f>
        <v>43101</v>
      </c>
      <c r="E35" s="199"/>
      <c r="F35" s="199"/>
      <c r="G35" s="199"/>
      <c r="H35" s="199"/>
      <c r="I35" s="199"/>
      <c r="J35" s="107" t="str">
        <f>IF(K35&gt;=0,"Presežek: ","Primanjkljaj: ")</f>
        <v xml:space="preserve">Presežek: </v>
      </c>
      <c r="K35" s="108" t="str">
        <f>IFERROR((VLOOKUP(1,M40:N58,2,FALSE)),"")</f>
        <v/>
      </c>
      <c r="L35" s="232"/>
      <c r="M35" s="232"/>
      <c r="N35" s="199"/>
      <c r="O35" s="93"/>
      <c r="P35" s="89"/>
      <c r="Q35" s="89"/>
      <c r="R35" s="89"/>
      <c r="S35" s="89"/>
      <c r="T35" s="89"/>
    </row>
    <row r="36" spans="2:20" x14ac:dyDescent="0.3">
      <c r="B36" s="94"/>
      <c r="C36" s="95" t="s">
        <v>89</v>
      </c>
      <c r="D36" s="106">
        <f>DATE(YEAR(D35)+D37,MONTH(D35),DAY(D35))</f>
        <v>43101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93"/>
      <c r="P36" s="89"/>
      <c r="Q36" s="89"/>
      <c r="R36" s="89"/>
      <c r="S36" s="89"/>
      <c r="T36" s="89"/>
    </row>
    <row r="37" spans="2:20" x14ac:dyDescent="0.3">
      <c r="B37" s="94"/>
      <c r="C37" s="95" t="s">
        <v>90</v>
      </c>
      <c r="D37" s="237">
        <f>'Analiza nakupa'!D6</f>
        <v>0</v>
      </c>
      <c r="E37" s="238" t="s">
        <v>28</v>
      </c>
      <c r="F37" s="199"/>
      <c r="G37" s="199"/>
      <c r="H37" s="199"/>
      <c r="I37" s="199"/>
      <c r="J37" s="199"/>
      <c r="K37" s="199"/>
      <c r="L37" s="199"/>
      <c r="M37" s="199"/>
      <c r="N37" s="199"/>
      <c r="O37" s="93"/>
      <c r="P37" s="89"/>
      <c r="Q37" s="89"/>
      <c r="R37" s="89"/>
      <c r="S37" s="89"/>
      <c r="T37" s="89"/>
    </row>
    <row r="38" spans="2:20" x14ac:dyDescent="0.3">
      <c r="B38" s="94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93"/>
      <c r="P38" s="89"/>
      <c r="Q38" s="89"/>
      <c r="R38" s="89"/>
      <c r="S38" s="89"/>
      <c r="T38" s="89"/>
    </row>
    <row r="39" spans="2:20" x14ac:dyDescent="0.3">
      <c r="B39" s="94"/>
      <c r="C39" s="199"/>
      <c r="D39" s="235"/>
      <c r="E39" s="337" t="s">
        <v>61</v>
      </c>
      <c r="F39" s="337"/>
      <c r="G39" s="236"/>
      <c r="H39" s="328" t="s">
        <v>11</v>
      </c>
      <c r="I39" s="329"/>
      <c r="J39" s="329"/>
      <c r="K39" s="329"/>
      <c r="L39" s="329"/>
      <c r="M39" s="329"/>
      <c r="N39" s="330"/>
      <c r="O39" s="93"/>
      <c r="P39" s="89"/>
      <c r="Q39" s="89"/>
      <c r="R39" s="89"/>
      <c r="S39" s="89"/>
      <c r="T39" s="89"/>
    </row>
    <row r="40" spans="2:20" x14ac:dyDescent="0.3">
      <c r="B40" s="109" t="s">
        <v>91</v>
      </c>
      <c r="C40" s="31" t="s">
        <v>84</v>
      </c>
      <c r="D40" s="110" t="s">
        <v>92</v>
      </c>
      <c r="E40" s="110" t="s">
        <v>93</v>
      </c>
      <c r="F40" s="110" t="s">
        <v>94</v>
      </c>
      <c r="G40" s="101" t="s">
        <v>95</v>
      </c>
      <c r="H40" s="101" t="s">
        <v>96</v>
      </c>
      <c r="I40" s="110" t="s">
        <v>92</v>
      </c>
      <c r="J40" s="110" t="s">
        <v>93</v>
      </c>
      <c r="K40" s="110" t="s">
        <v>94</v>
      </c>
      <c r="L40" s="110"/>
      <c r="M40" s="110"/>
      <c r="N40" s="110" t="s">
        <v>97</v>
      </c>
      <c r="O40" s="93"/>
      <c r="P40" s="89"/>
      <c r="Q40" s="89"/>
      <c r="R40" s="89"/>
      <c r="S40" s="89"/>
      <c r="T40" s="89"/>
    </row>
    <row r="41" spans="2:20" x14ac:dyDescent="0.3">
      <c r="B41" s="111">
        <f>IF($D$8="Nakup",IF(YEAR($D$36)&gt;=R41,Q41,IF(B12="","",B12)),IF(B12="","",B12))</f>
        <v>1</v>
      </c>
      <c r="C41" s="102" t="str">
        <f>IF(AND(D7&gt;0,D37&gt;D7),D35,IF(D5="","",D5))</f>
        <v/>
      </c>
      <c r="D41" s="112" t="str">
        <f>IF(ISNUMBER(D5),'Analiza nakupa'!$D$7/12*(12-MONTH(D5)),"")</f>
        <v/>
      </c>
      <c r="E41" s="112" t="str">
        <f>IF(D12=0,IF(ISNUMBER(C41),D12,""),D12)</f>
        <v/>
      </c>
      <c r="F41" s="233" t="str">
        <f>IF(OR(C41="",D41="",H41="-"),"",E41-D41)</f>
        <v/>
      </c>
      <c r="G41" s="233" t="str">
        <f>F41</f>
        <v/>
      </c>
      <c r="H41" s="183" t="str">
        <f>IF(OR(E12="",D12=""),IF(AND(ISNUMBER(C41),C41&lt;=$D$6),"-",IF(ISNUMBER(C41),"-","")),E12/D12)</f>
        <v/>
      </c>
      <c r="I41" s="97" t="str">
        <f>IF(D41="","",D41*'Analiza nakupa'!$D$8)</f>
        <v/>
      </c>
      <c r="J41" s="97" t="str">
        <f>IF(E12="",IF(ISNUMBER(C41),E12,""),E12)</f>
        <v/>
      </c>
      <c r="K41" s="97" t="str">
        <f>IF(OR(I41="",J41="",H41="-"),"",J41-I41)</f>
        <v/>
      </c>
      <c r="L41" s="97" t="str">
        <f>IF(ISNUMBER(N41),"številka","ni številke")</f>
        <v>ni številke</v>
      </c>
      <c r="M41" s="95">
        <f>IF(L41=L42,0,1)</f>
        <v>0</v>
      </c>
      <c r="N41" s="97" t="str">
        <f>IF(K41="","",K41)</f>
        <v/>
      </c>
      <c r="O41" s="93"/>
      <c r="P41" s="89"/>
      <c r="Q41" s="89">
        <v>1</v>
      </c>
      <c r="R41" s="89">
        <f>YEAR(D35)</f>
        <v>2018</v>
      </c>
      <c r="S41" s="89"/>
      <c r="T41" s="89"/>
    </row>
    <row r="42" spans="2:20" x14ac:dyDescent="0.3">
      <c r="B42" s="111" t="str">
        <f t="shared" ref="B42:B57" si="3">IF($D$8="Nakup",IF(YEAR($D$36)&gt;=R42,Q42,IF(B13="","",B13)),IF(B13="","",B13))</f>
        <v/>
      </c>
      <c r="C42" s="102" t="str">
        <f>IF(ISNUMBER(B42),IF(B42&gt;0,DATE(YEAR(C41)+1,MONTH(C41),DAY(C41)),""),IF($D$8="Nakup",IF(ISNUMBER(C41),IF(AND(YEAR($D$36)&gt;YEAR($D$6),YEAR($D$36)&gt;YEAR(C41)),DATE(YEAR(C41)+1,MONTH(C41),DAY(C41)),""),""),""))</f>
        <v/>
      </c>
      <c r="D42" s="112" t="str">
        <f>IF(C42="","",IF($D$8="Nakup",IF(C42&gt;$D$36,0,IF(YEAR(C42)&lt;=YEAR($D$36)-1,'Analiza nakupa'!$D$7,'Analiza nakupa'!$D$7/12*MONTH($D$36))),IF(YEAR(C42)&gt;YEAR($D$6),0,IF(YEAR(C42)&lt;=YEAR($D$6)-1,'Analiza nakupa'!$D$7,'Analiza nakupa'!$D$7/12*MONTH($D$6)))))</f>
        <v/>
      </c>
      <c r="E42" s="112" t="str">
        <f t="shared" ref="E42:E57" si="4">IF(D13=0,IF(ISNUMBER(C42),D13,""),D13)</f>
        <v/>
      </c>
      <c r="F42" s="233" t="str">
        <f>IF(OR(C42="",D42="",H42="-"),"",E42-D42)</f>
        <v/>
      </c>
      <c r="G42" s="233" t="str">
        <f>IF(OR(C42="",G41="",F42=""),"",G41+F42)</f>
        <v/>
      </c>
      <c r="H42" s="183" t="str">
        <f t="shared" ref="H42:H57" si="5">IF(OR(E13="",D13=""),IF(AND(ISNUMBER(C42),C42&lt;=$D$6),"-",IF(ISNUMBER(C42),"-","")),E13/D13)</f>
        <v/>
      </c>
      <c r="I42" s="97" t="str">
        <f>IF(D42="","",D42*'Analiza nakupa'!$D$8)</f>
        <v/>
      </c>
      <c r="J42" s="97" t="str">
        <f t="shared" ref="J42:J57" si="6">IF(E13="",IF(ISNUMBER(C42),E13,""),E13)</f>
        <v/>
      </c>
      <c r="K42" s="97" t="str">
        <f t="shared" ref="K42:K57" si="7">IF(OR(I42="",J42="",H42="-"),"",J42-I42)</f>
        <v/>
      </c>
      <c r="L42" s="97" t="str">
        <f t="shared" ref="L42:L59" si="8">IF(ISNUMBER(N42),"številka","ni številke")</f>
        <v>ni številke</v>
      </c>
      <c r="M42" s="95">
        <f t="shared" ref="M42:M56" si="9">IF(L42=L43,0,1)</f>
        <v>0</v>
      </c>
      <c r="N42" s="97" t="str">
        <f t="shared" ref="N42:N57" si="10">IF(OR(K42="",N41=""),"",N41+K42)</f>
        <v/>
      </c>
      <c r="O42" s="93"/>
      <c r="P42" s="89"/>
      <c r="Q42" s="89">
        <v>2</v>
      </c>
      <c r="R42" s="89">
        <f>R41+1</f>
        <v>2019</v>
      </c>
      <c r="S42" s="89"/>
      <c r="T42" s="89"/>
    </row>
    <row r="43" spans="2:20" x14ac:dyDescent="0.3">
      <c r="B43" s="111" t="str">
        <f t="shared" si="3"/>
        <v/>
      </c>
      <c r="C43" s="102" t="str">
        <f t="shared" ref="C43:C57" si="11">IF(ISNUMBER(B43),IF(B43&gt;0,DATE(YEAR(C42)+1,MONTH(C42),DAY(C42)),""),IF($D$8="Nakup",IF(ISNUMBER(C42),IF(AND(YEAR($D$36)&gt;YEAR($D$6),YEAR($D$36)&gt;YEAR(C42)),DATE(YEAR(C42)+1,MONTH(C42),DAY(C42)),""),""),""))</f>
        <v/>
      </c>
      <c r="D43" s="112" t="str">
        <f>IF(C43="","",IF($D$8="Nakup",IF(C43&gt;$D$36,0,IF(YEAR(C43)&lt;=YEAR($D$36)-1,'Analiza nakupa'!$D$7,'Analiza nakupa'!$D$7/12*MONTH($D$36))),IF(YEAR(C43)&gt;YEAR($D$6),0,IF(YEAR(C43)&lt;=YEAR($D$6)-1,'Analiza nakupa'!$D$7,'Analiza nakupa'!$D$7/12*MONTH($D$6)))))</f>
        <v/>
      </c>
      <c r="E43" s="112" t="str">
        <f t="shared" si="4"/>
        <v/>
      </c>
      <c r="F43" s="233" t="str">
        <f>IF(OR(C43="",D43="",H43="-"),"",E43-D43)</f>
        <v/>
      </c>
      <c r="G43" s="233" t="str">
        <f t="shared" ref="G43:G57" si="12">IF(OR(C43="",G42="",F43=""),"",G42+F43)</f>
        <v/>
      </c>
      <c r="H43" s="183" t="str">
        <f t="shared" si="5"/>
        <v/>
      </c>
      <c r="I43" s="97" t="str">
        <f>IF(D43="","",D43*'Analiza nakupa'!$D$8)</f>
        <v/>
      </c>
      <c r="J43" s="97" t="str">
        <f t="shared" si="6"/>
        <v/>
      </c>
      <c r="K43" s="97" t="str">
        <f t="shared" si="7"/>
        <v/>
      </c>
      <c r="L43" s="97" t="str">
        <f t="shared" si="8"/>
        <v>ni številke</v>
      </c>
      <c r="M43" s="95">
        <f t="shared" si="9"/>
        <v>0</v>
      </c>
      <c r="N43" s="97" t="str">
        <f t="shared" si="10"/>
        <v/>
      </c>
      <c r="O43" s="93"/>
      <c r="P43" s="89"/>
      <c r="Q43" s="89">
        <v>3</v>
      </c>
      <c r="R43" s="89">
        <f t="shared" ref="R43:R58" si="13">R42+1</f>
        <v>2020</v>
      </c>
      <c r="S43" s="89"/>
      <c r="T43" s="89"/>
    </row>
    <row r="44" spans="2:20" x14ac:dyDescent="0.3">
      <c r="B44" s="111" t="str">
        <f t="shared" si="3"/>
        <v/>
      </c>
      <c r="C44" s="102" t="str">
        <f t="shared" si="11"/>
        <v/>
      </c>
      <c r="D44" s="112" t="str">
        <f>IF(C44="","",IF($D$8="Nakup",IF(C44&gt;$D$36,0,IF(YEAR(C44)&lt;=YEAR($D$36)-1,'Analiza nakupa'!$D$7,'Analiza nakupa'!$D$7/12*MONTH($D$36))),IF(YEAR(C44)&gt;YEAR($D$6),0,IF(YEAR(C44)&lt;=YEAR($D$6)-1,'Analiza nakupa'!$D$7,'Analiza nakupa'!$D$7/12*MONTH($D$6)))))</f>
        <v/>
      </c>
      <c r="E44" s="112" t="str">
        <f t="shared" si="4"/>
        <v/>
      </c>
      <c r="F44" s="233" t="str">
        <f>IF(OR(C44="",D44="",H44="-"),"",E44-D44)</f>
        <v/>
      </c>
      <c r="G44" s="233" t="str">
        <f t="shared" si="12"/>
        <v/>
      </c>
      <c r="H44" s="183" t="str">
        <f t="shared" si="5"/>
        <v/>
      </c>
      <c r="I44" s="97" t="str">
        <f>IF(D44="","",D44*'Analiza nakupa'!$D$8)</f>
        <v/>
      </c>
      <c r="J44" s="97" t="str">
        <f t="shared" si="6"/>
        <v/>
      </c>
      <c r="K44" s="97" t="str">
        <f t="shared" si="7"/>
        <v/>
      </c>
      <c r="L44" s="97" t="str">
        <f t="shared" si="8"/>
        <v>ni številke</v>
      </c>
      <c r="M44" s="95">
        <f t="shared" si="9"/>
        <v>0</v>
      </c>
      <c r="N44" s="97" t="str">
        <f t="shared" si="10"/>
        <v/>
      </c>
      <c r="O44" s="93"/>
      <c r="P44" s="89"/>
      <c r="Q44" s="89">
        <v>4</v>
      </c>
      <c r="R44" s="89">
        <f t="shared" si="13"/>
        <v>2021</v>
      </c>
      <c r="S44" s="89"/>
      <c r="T44" s="89"/>
    </row>
    <row r="45" spans="2:20" x14ac:dyDescent="0.3">
      <c r="B45" s="111" t="str">
        <f t="shared" si="3"/>
        <v/>
      </c>
      <c r="C45" s="102" t="str">
        <f t="shared" si="11"/>
        <v/>
      </c>
      <c r="D45" s="112" t="str">
        <f>IF(C45="","",IF($D$8="Nakup",IF(C45&gt;$D$36,0,IF(YEAR(C45)&lt;=YEAR($D$36)-1,'Analiza nakupa'!$D$7,'Analiza nakupa'!$D$7/12*MONTH($D$36))),IF(YEAR(C45)&gt;YEAR($D$6),0,IF(YEAR(C45)&lt;=YEAR($D$6)-1,'Analiza nakupa'!$D$7,'Analiza nakupa'!$D$7/12*MONTH($D$6)))))</f>
        <v/>
      </c>
      <c r="E45" s="112" t="str">
        <f>IF(D16=0,IF(ISNUMBER(C45),D16,""),D16)</f>
        <v/>
      </c>
      <c r="F45" s="233" t="str">
        <f t="shared" ref="F43:F48" si="14">IF(OR(C45="",D45="",H45="-"),"",E45-D45)</f>
        <v/>
      </c>
      <c r="G45" s="233" t="str">
        <f t="shared" si="12"/>
        <v/>
      </c>
      <c r="H45" s="183" t="str">
        <f t="shared" si="5"/>
        <v/>
      </c>
      <c r="I45" s="97" t="str">
        <f>IF(D45="","",D45*'Analiza nakupa'!$D$8)</f>
        <v/>
      </c>
      <c r="J45" s="97" t="str">
        <f t="shared" si="6"/>
        <v/>
      </c>
      <c r="K45" s="97" t="str">
        <f t="shared" si="7"/>
        <v/>
      </c>
      <c r="L45" s="97" t="str">
        <f t="shared" si="8"/>
        <v>ni številke</v>
      </c>
      <c r="M45" s="95">
        <f t="shared" si="9"/>
        <v>0</v>
      </c>
      <c r="N45" s="97" t="str">
        <f t="shared" si="10"/>
        <v/>
      </c>
      <c r="O45" s="93"/>
      <c r="P45" s="89"/>
      <c r="Q45" s="89">
        <v>5</v>
      </c>
      <c r="R45" s="89">
        <f t="shared" si="13"/>
        <v>2022</v>
      </c>
      <c r="S45" s="89"/>
      <c r="T45" s="89"/>
    </row>
    <row r="46" spans="2:20" x14ac:dyDescent="0.3">
      <c r="B46" s="111" t="str">
        <f t="shared" si="3"/>
        <v/>
      </c>
      <c r="C46" s="102" t="str">
        <f t="shared" si="11"/>
        <v/>
      </c>
      <c r="D46" s="112" t="str">
        <f>IF(C46="","",IF($D$8="Nakup",IF(C46&gt;$D$36,0,IF(YEAR(C46)&lt;=YEAR($D$36)-1,'Analiza nakupa'!$D$7,'Analiza nakupa'!$D$7/12*MONTH($D$36))),IF(YEAR(C46)&gt;YEAR($D$6),0,IF(YEAR(C46)&lt;=YEAR($D$6)-1,'Analiza nakupa'!$D$7,'Analiza nakupa'!$D$7/12*MONTH($D$6)))))</f>
        <v/>
      </c>
      <c r="E46" s="112" t="str">
        <f t="shared" si="4"/>
        <v/>
      </c>
      <c r="F46" s="233" t="str">
        <f t="shared" si="14"/>
        <v/>
      </c>
      <c r="G46" s="233" t="str">
        <f t="shared" si="12"/>
        <v/>
      </c>
      <c r="H46" s="183" t="str">
        <f t="shared" si="5"/>
        <v/>
      </c>
      <c r="I46" s="97" t="str">
        <f>IF(D46="","",D46*'Analiza nakupa'!$D$8)</f>
        <v/>
      </c>
      <c r="J46" s="97" t="str">
        <f t="shared" si="6"/>
        <v/>
      </c>
      <c r="K46" s="97" t="str">
        <f t="shared" si="7"/>
        <v/>
      </c>
      <c r="L46" s="97" t="str">
        <f t="shared" si="8"/>
        <v>ni številke</v>
      </c>
      <c r="M46" s="95">
        <f t="shared" si="9"/>
        <v>0</v>
      </c>
      <c r="N46" s="97" t="str">
        <f t="shared" si="10"/>
        <v/>
      </c>
      <c r="O46" s="93"/>
      <c r="P46" s="89"/>
      <c r="Q46" s="89">
        <v>6</v>
      </c>
      <c r="R46" s="89">
        <f t="shared" si="13"/>
        <v>2023</v>
      </c>
      <c r="S46" s="89"/>
      <c r="T46" s="89"/>
    </row>
    <row r="47" spans="2:20" x14ac:dyDescent="0.3">
      <c r="B47" s="111" t="str">
        <f t="shared" si="3"/>
        <v/>
      </c>
      <c r="C47" s="102" t="str">
        <f t="shared" si="11"/>
        <v/>
      </c>
      <c r="D47" s="112" t="str">
        <f>IF(C47="","",IF($D$8="Nakup",IF(C47&gt;$D$36,0,IF(YEAR(C47)&lt;=YEAR($D$36)-1,'Analiza nakupa'!$D$7,'Analiza nakupa'!$D$7/12*MONTH($D$36))),IF(YEAR(C47)&gt;YEAR($D$6),0,IF(YEAR(C47)&lt;=YEAR($D$6)-1,'Analiza nakupa'!$D$7,'Analiza nakupa'!$D$7/12*MONTH($D$6)))))</f>
        <v/>
      </c>
      <c r="E47" s="112" t="str">
        <f>IF(D18=0,IF(ISNUMBER(C47),D18,""),D18)</f>
        <v/>
      </c>
      <c r="F47" s="233" t="str">
        <f>IF(OR(C47="",D47="",H47="-"),"",E47-D47)</f>
        <v/>
      </c>
      <c r="G47" s="233" t="str">
        <f>IF(OR(C47="",G46="",F47=""),"",G46+F47)</f>
        <v/>
      </c>
      <c r="H47" s="183" t="str">
        <f t="shared" si="5"/>
        <v/>
      </c>
      <c r="I47" s="97" t="str">
        <f>IF(D47="","",D47*'Analiza nakupa'!$D$8)</f>
        <v/>
      </c>
      <c r="J47" s="97" t="str">
        <f t="shared" si="6"/>
        <v/>
      </c>
      <c r="K47" s="97" t="str">
        <f>IF(OR(I47="",J47="",H47="-"),"",J47-I47)</f>
        <v/>
      </c>
      <c r="L47" s="97" t="str">
        <f t="shared" si="8"/>
        <v>ni številke</v>
      </c>
      <c r="M47" s="95">
        <f t="shared" si="9"/>
        <v>0</v>
      </c>
      <c r="N47" s="97" t="str">
        <f t="shared" si="10"/>
        <v/>
      </c>
      <c r="O47" s="93"/>
      <c r="P47" s="247"/>
      <c r="Q47" s="89">
        <v>7</v>
      </c>
      <c r="R47" s="89">
        <f t="shared" si="13"/>
        <v>2024</v>
      </c>
      <c r="S47" s="89"/>
      <c r="T47" s="89"/>
    </row>
    <row r="48" spans="2:20" x14ac:dyDescent="0.3">
      <c r="B48" s="111" t="str">
        <f>IF($D$8="Nakup",IF(YEAR($D$36)&gt;=R48,Q48,IF(B19="","",B19)),IF(B19="","",B19))</f>
        <v/>
      </c>
      <c r="C48" s="102" t="str">
        <f>IF(ISNUMBER(B48),IF(B48&gt;0,DATE(YEAR(C47)+1,MONTH(C47),DAY(C47)),""),IF($D$8="Nakup",IF(ISNUMBER(C47),IF(AND(YEAR($D$36)&gt;YEAR($D$6),YEAR($D$36)&gt;YEAR(C47)),DATE(YEAR(C47)+1,MONTH(C47),DAY(C47)),""),""),""))</f>
        <v/>
      </c>
      <c r="D48" s="112" t="str">
        <f>IF(C48="","",IF($D$8="Nakup",IF(C48&gt;$D$36,0,IF(YEAR(C48)&lt;=YEAR($D$36)-1,'Analiza nakupa'!$D$7,'Analiza nakupa'!$D$7/12*MONTH($D$36))),IF(YEAR(C48)&gt;YEAR($D$6),0,IF(YEAR(C48)&lt;=YEAR($D$6)-1,'Analiza nakupa'!$D$7,'Analiza nakupa'!$D$7/12*MONTH($D$6)))))</f>
        <v/>
      </c>
      <c r="E48" s="112" t="str">
        <f t="shared" si="4"/>
        <v/>
      </c>
      <c r="F48" s="233" t="str">
        <f>IF(OR(C48="",D48="",H48="-"),"",E48-D48)</f>
        <v/>
      </c>
      <c r="G48" s="233" t="str">
        <f>IF(OR(C48="",G47="",F48=""),"",G47+F48)</f>
        <v/>
      </c>
      <c r="H48" s="183" t="str">
        <f t="shared" si="5"/>
        <v/>
      </c>
      <c r="I48" s="97" t="str">
        <f>IF(D48="","",D48*'Analiza nakupa'!$D$8)</f>
        <v/>
      </c>
      <c r="J48" s="97" t="str">
        <f>IF(E19="",IF(ISNUMBER(C48),E19,""),E19)</f>
        <v/>
      </c>
      <c r="K48" s="97" t="str">
        <f t="shared" si="7"/>
        <v/>
      </c>
      <c r="L48" s="97" t="str">
        <f t="shared" si="8"/>
        <v>ni številke</v>
      </c>
      <c r="M48" s="95">
        <f t="shared" si="9"/>
        <v>0</v>
      </c>
      <c r="N48" s="97" t="str">
        <f t="shared" si="10"/>
        <v/>
      </c>
      <c r="O48" s="93"/>
      <c r="P48" s="89"/>
      <c r="Q48" s="89">
        <v>8</v>
      </c>
      <c r="R48" s="89">
        <f t="shared" si="13"/>
        <v>2025</v>
      </c>
      <c r="S48" s="89"/>
      <c r="T48" s="89"/>
    </row>
    <row r="49" spans="2:20" x14ac:dyDescent="0.3">
      <c r="B49" s="111" t="str">
        <f t="shared" si="3"/>
        <v/>
      </c>
      <c r="C49" s="102" t="str">
        <f t="shared" si="11"/>
        <v/>
      </c>
      <c r="D49" s="112" t="str">
        <f>IF(C49="","",IF($D$8="Nakup",IF(C49&gt;$D$36,0,IF(YEAR(C49)&lt;=YEAR($D$36)-1,'Analiza nakupa'!$D$7,'Analiza nakupa'!$D$7/12*MONTH($D$36))),IF(YEAR(C49)&gt;YEAR($D$6),0,IF(YEAR(C49)&lt;=YEAR($D$6)-1,'Analiza nakupa'!$D$7,'Analiza nakupa'!$D$7/12*MONTH($D$6)))))</f>
        <v/>
      </c>
      <c r="E49" s="112" t="str">
        <f>IF(D20=0,IF(ISNUMBER(C49),D20,""),D20)</f>
        <v/>
      </c>
      <c r="F49" s="233" t="str">
        <f t="shared" ref="F49:F57" si="15">IF(OR(C49="",D49=""),"",E49-D49)</f>
        <v/>
      </c>
      <c r="G49" s="233" t="str">
        <f t="shared" si="12"/>
        <v/>
      </c>
      <c r="H49" s="183" t="str">
        <f t="shared" si="5"/>
        <v/>
      </c>
      <c r="I49" s="97" t="str">
        <f>IF(D49="","",D49*'Analiza nakupa'!$D$8)</f>
        <v/>
      </c>
      <c r="J49" s="97" t="str">
        <f t="shared" si="6"/>
        <v/>
      </c>
      <c r="K49" s="97" t="str">
        <f t="shared" si="7"/>
        <v/>
      </c>
      <c r="L49" s="97" t="str">
        <f t="shared" si="8"/>
        <v>ni številke</v>
      </c>
      <c r="M49" s="95">
        <f>IF(L49=L50,0,1)</f>
        <v>0</v>
      </c>
      <c r="N49" s="97" t="str">
        <f t="shared" si="10"/>
        <v/>
      </c>
      <c r="O49" s="93"/>
      <c r="P49" s="89"/>
      <c r="Q49" s="89">
        <v>9</v>
      </c>
      <c r="R49" s="89">
        <f t="shared" si="13"/>
        <v>2026</v>
      </c>
      <c r="S49" s="89"/>
      <c r="T49" s="89"/>
    </row>
    <row r="50" spans="2:20" x14ac:dyDescent="0.3">
      <c r="B50" s="111" t="str">
        <f t="shared" si="3"/>
        <v/>
      </c>
      <c r="C50" s="102" t="str">
        <f t="shared" si="11"/>
        <v/>
      </c>
      <c r="D50" s="112" t="str">
        <f>IF(C50="","",IF($D$8="Nakup",IF(C50&gt;$D$36,0,IF(YEAR(C50)&lt;=YEAR($D$36)-1,'Analiza nakupa'!$D$7,'Analiza nakupa'!$D$7/12*MONTH($D$36))),IF(YEAR(C50)&gt;YEAR($D$6),0,IF(YEAR(C50)&lt;=YEAR($D$6)-1,'Analiza nakupa'!$D$7,'Analiza nakupa'!$D$7/12*MONTH($D$6)))))</f>
        <v/>
      </c>
      <c r="E50" s="112" t="str">
        <f t="shared" si="4"/>
        <v/>
      </c>
      <c r="F50" s="233" t="str">
        <f t="shared" si="15"/>
        <v/>
      </c>
      <c r="G50" s="233" t="str">
        <f t="shared" si="12"/>
        <v/>
      </c>
      <c r="H50" s="183" t="str">
        <f t="shared" si="5"/>
        <v/>
      </c>
      <c r="I50" s="97" t="str">
        <f>IF(D50="","",D50*'Analiza nakupa'!$D$8)</f>
        <v/>
      </c>
      <c r="J50" s="97" t="str">
        <f t="shared" si="6"/>
        <v/>
      </c>
      <c r="K50" s="97" t="str">
        <f t="shared" si="7"/>
        <v/>
      </c>
      <c r="L50" s="97" t="str">
        <f t="shared" si="8"/>
        <v>ni številke</v>
      </c>
      <c r="M50" s="95">
        <f t="shared" si="9"/>
        <v>0</v>
      </c>
      <c r="N50" s="97" t="str">
        <f t="shared" si="10"/>
        <v/>
      </c>
      <c r="O50" s="93"/>
      <c r="P50" s="89"/>
      <c r="Q50" s="89">
        <v>10</v>
      </c>
      <c r="R50" s="89">
        <f t="shared" si="13"/>
        <v>2027</v>
      </c>
      <c r="S50" s="89"/>
      <c r="T50" s="89"/>
    </row>
    <row r="51" spans="2:20" x14ac:dyDescent="0.3">
      <c r="B51" s="111" t="str">
        <f t="shared" si="3"/>
        <v/>
      </c>
      <c r="C51" s="102" t="str">
        <f t="shared" si="11"/>
        <v/>
      </c>
      <c r="D51" s="112" t="str">
        <f>IF(C51="","",IF($D$8="Nakup",IF(C51&gt;$D$36,0,IF(YEAR(C51)&lt;=YEAR($D$36)-1,'Analiza nakupa'!$D$7,'Analiza nakupa'!$D$7/12*MONTH($D$36))),IF(YEAR(C51)&gt;YEAR($D$6),0,IF(YEAR(C51)&lt;=YEAR($D$6)-1,'Analiza nakupa'!$D$7,'Analiza nakupa'!$D$7/12*MONTH($D$6)))))</f>
        <v/>
      </c>
      <c r="E51" s="112" t="str">
        <f t="shared" si="4"/>
        <v/>
      </c>
      <c r="F51" s="233" t="str">
        <f t="shared" si="15"/>
        <v/>
      </c>
      <c r="G51" s="233" t="str">
        <f t="shared" si="12"/>
        <v/>
      </c>
      <c r="H51" s="183" t="str">
        <f t="shared" si="5"/>
        <v/>
      </c>
      <c r="I51" s="97" t="str">
        <f>IF(D51="","",D51*'Analiza nakupa'!$D$8)</f>
        <v/>
      </c>
      <c r="J51" s="97" t="str">
        <f t="shared" si="6"/>
        <v/>
      </c>
      <c r="K51" s="97" t="str">
        <f t="shared" si="7"/>
        <v/>
      </c>
      <c r="L51" s="97" t="str">
        <f t="shared" si="8"/>
        <v>ni številke</v>
      </c>
      <c r="M51" s="95">
        <f t="shared" si="9"/>
        <v>0</v>
      </c>
      <c r="N51" s="97" t="str">
        <f t="shared" si="10"/>
        <v/>
      </c>
      <c r="O51" s="93"/>
      <c r="P51" s="89"/>
      <c r="Q51" s="89">
        <v>11</v>
      </c>
      <c r="R51" s="89">
        <f t="shared" si="13"/>
        <v>2028</v>
      </c>
      <c r="S51" s="89"/>
      <c r="T51" s="89"/>
    </row>
    <row r="52" spans="2:20" x14ac:dyDescent="0.3">
      <c r="B52" s="111" t="str">
        <f t="shared" si="3"/>
        <v/>
      </c>
      <c r="C52" s="102" t="str">
        <f t="shared" si="11"/>
        <v/>
      </c>
      <c r="D52" s="112" t="str">
        <f>IF(C52="","",IF($D$8="Nakup",IF(C52&gt;$D$36,0,IF(YEAR(C52)&lt;=YEAR($D$36)-1,'Analiza nakupa'!$D$7,'Analiza nakupa'!$D$7/12*MONTH($D$36))),IF(YEAR(C52)&gt;YEAR($D$6),0,IF(YEAR(C52)&lt;=YEAR($D$6)-1,'Analiza nakupa'!$D$7,'Analiza nakupa'!$D$7/12*MONTH($D$6)))))</f>
        <v/>
      </c>
      <c r="E52" s="112" t="str">
        <f t="shared" si="4"/>
        <v/>
      </c>
      <c r="F52" s="233" t="str">
        <f t="shared" si="15"/>
        <v/>
      </c>
      <c r="G52" s="233" t="str">
        <f t="shared" si="12"/>
        <v/>
      </c>
      <c r="H52" s="183" t="str">
        <f t="shared" si="5"/>
        <v/>
      </c>
      <c r="I52" s="97" t="str">
        <f>IF(D52="","",D52*'Analiza nakupa'!$D$8)</f>
        <v/>
      </c>
      <c r="J52" s="97" t="str">
        <f t="shared" si="6"/>
        <v/>
      </c>
      <c r="K52" s="97" t="str">
        <f t="shared" si="7"/>
        <v/>
      </c>
      <c r="L52" s="97" t="str">
        <f t="shared" si="8"/>
        <v>ni številke</v>
      </c>
      <c r="M52" s="95">
        <f t="shared" si="9"/>
        <v>0</v>
      </c>
      <c r="N52" s="97" t="str">
        <f t="shared" si="10"/>
        <v/>
      </c>
      <c r="O52" s="93"/>
      <c r="P52" s="89"/>
      <c r="Q52" s="89">
        <v>12</v>
      </c>
      <c r="R52" s="89">
        <f t="shared" si="13"/>
        <v>2029</v>
      </c>
      <c r="S52" s="89"/>
      <c r="T52" s="89"/>
    </row>
    <row r="53" spans="2:20" x14ac:dyDescent="0.3">
      <c r="B53" s="111" t="str">
        <f t="shared" si="3"/>
        <v/>
      </c>
      <c r="C53" s="102" t="str">
        <f t="shared" si="11"/>
        <v/>
      </c>
      <c r="D53" s="112" t="str">
        <f>IF(C53="","",IF($D$8="Nakup",IF(C53&gt;$D$36,0,IF(YEAR(C53)&lt;=YEAR($D$36)-1,'Analiza nakupa'!$D$7,'Analiza nakupa'!$D$7/12*MONTH($D$36))),IF(YEAR(C53)&gt;YEAR($D$6),0,IF(YEAR(C53)&lt;=YEAR($D$6)-1,'Analiza nakupa'!$D$7,'Analiza nakupa'!$D$7/12*MONTH($D$6)))))</f>
        <v/>
      </c>
      <c r="E53" s="112" t="str">
        <f t="shared" si="4"/>
        <v/>
      </c>
      <c r="F53" s="233" t="str">
        <f t="shared" si="15"/>
        <v/>
      </c>
      <c r="G53" s="233" t="str">
        <f t="shared" si="12"/>
        <v/>
      </c>
      <c r="H53" s="183" t="str">
        <f t="shared" si="5"/>
        <v/>
      </c>
      <c r="I53" s="97" t="str">
        <f>IF(D53="","",D53*'Analiza nakupa'!$D$8)</f>
        <v/>
      </c>
      <c r="J53" s="97" t="str">
        <f t="shared" si="6"/>
        <v/>
      </c>
      <c r="K53" s="97" t="str">
        <f t="shared" si="7"/>
        <v/>
      </c>
      <c r="L53" s="97" t="str">
        <f t="shared" si="8"/>
        <v>ni številke</v>
      </c>
      <c r="M53" s="95">
        <f t="shared" si="9"/>
        <v>0</v>
      </c>
      <c r="N53" s="97" t="str">
        <f t="shared" si="10"/>
        <v/>
      </c>
      <c r="O53" s="93"/>
      <c r="P53" s="89"/>
      <c r="Q53" s="89">
        <v>13</v>
      </c>
      <c r="R53" s="89">
        <f t="shared" si="13"/>
        <v>2030</v>
      </c>
      <c r="S53" s="89"/>
      <c r="T53" s="89"/>
    </row>
    <row r="54" spans="2:20" x14ac:dyDescent="0.3">
      <c r="B54" s="111" t="str">
        <f t="shared" si="3"/>
        <v/>
      </c>
      <c r="C54" s="102" t="str">
        <f t="shared" si="11"/>
        <v/>
      </c>
      <c r="D54" s="112" t="str">
        <f>IF(C54="","",IF($D$8="Nakup",IF(C54&gt;$D$36,0,IF(YEAR(C54)&lt;=YEAR($D$36)-1,'Analiza nakupa'!$D$7,'Analiza nakupa'!$D$7/12*MONTH($D$36))),IF(YEAR(C54)&gt;YEAR($D$6),0,IF(YEAR(C54)&lt;=YEAR($D$6)-1,'Analiza nakupa'!$D$7,'Analiza nakupa'!$D$7/12*MONTH($D$6)))))</f>
        <v/>
      </c>
      <c r="E54" s="112" t="str">
        <f t="shared" si="4"/>
        <v/>
      </c>
      <c r="F54" s="233" t="str">
        <f t="shared" si="15"/>
        <v/>
      </c>
      <c r="G54" s="233" t="str">
        <f t="shared" si="12"/>
        <v/>
      </c>
      <c r="H54" s="183" t="str">
        <f t="shared" si="5"/>
        <v/>
      </c>
      <c r="I54" s="97" t="str">
        <f>IF(D54="","",D54*'Analiza nakupa'!$D$8)</f>
        <v/>
      </c>
      <c r="J54" s="97" t="str">
        <f t="shared" si="6"/>
        <v/>
      </c>
      <c r="K54" s="97" t="str">
        <f t="shared" si="7"/>
        <v/>
      </c>
      <c r="L54" s="97" t="str">
        <f t="shared" si="8"/>
        <v>ni številke</v>
      </c>
      <c r="M54" s="95">
        <f t="shared" si="9"/>
        <v>0</v>
      </c>
      <c r="N54" s="97" t="str">
        <f t="shared" si="10"/>
        <v/>
      </c>
      <c r="O54" s="93"/>
      <c r="P54" s="89"/>
      <c r="Q54" s="89">
        <v>14</v>
      </c>
      <c r="R54" s="89">
        <f t="shared" si="13"/>
        <v>2031</v>
      </c>
      <c r="S54" s="89"/>
      <c r="T54" s="89"/>
    </row>
    <row r="55" spans="2:20" x14ac:dyDescent="0.3">
      <c r="B55" s="111" t="str">
        <f t="shared" si="3"/>
        <v/>
      </c>
      <c r="C55" s="102" t="str">
        <f t="shared" si="11"/>
        <v/>
      </c>
      <c r="D55" s="112" t="str">
        <f>IF(C55="","",IF($D$8="Nakup",IF(C55&gt;$D$36,0,IF(YEAR(C55)&lt;=YEAR($D$36)-1,'Analiza nakupa'!$D$7,'Analiza nakupa'!$D$7/12*MONTH($D$36))),IF(YEAR(C55)&gt;YEAR($D$6),0,IF(YEAR(C55)&lt;=YEAR($D$6)-1,'Analiza nakupa'!$D$7,'Analiza nakupa'!$D$7/12*MONTH($D$6)))))</f>
        <v/>
      </c>
      <c r="E55" s="112" t="str">
        <f t="shared" si="4"/>
        <v/>
      </c>
      <c r="F55" s="233" t="str">
        <f t="shared" si="15"/>
        <v/>
      </c>
      <c r="G55" s="233" t="str">
        <f t="shared" si="12"/>
        <v/>
      </c>
      <c r="H55" s="183" t="str">
        <f t="shared" si="5"/>
        <v/>
      </c>
      <c r="I55" s="97" t="str">
        <f>IF(D55="","",D55*'Analiza nakupa'!$D$8)</f>
        <v/>
      </c>
      <c r="J55" s="97" t="str">
        <f t="shared" si="6"/>
        <v/>
      </c>
      <c r="K55" s="97" t="str">
        <f t="shared" si="7"/>
        <v/>
      </c>
      <c r="L55" s="97" t="str">
        <f t="shared" si="8"/>
        <v>ni številke</v>
      </c>
      <c r="M55" s="95">
        <f t="shared" si="9"/>
        <v>0</v>
      </c>
      <c r="N55" s="97" t="str">
        <f t="shared" si="10"/>
        <v/>
      </c>
      <c r="O55" s="93"/>
      <c r="P55" s="89"/>
      <c r="Q55" s="89">
        <v>15</v>
      </c>
      <c r="R55" s="89">
        <f t="shared" si="13"/>
        <v>2032</v>
      </c>
      <c r="S55" s="89"/>
      <c r="T55" s="89"/>
    </row>
    <row r="56" spans="2:20" x14ac:dyDescent="0.3">
      <c r="B56" s="111" t="str">
        <f t="shared" si="3"/>
        <v/>
      </c>
      <c r="C56" s="102" t="str">
        <f t="shared" si="11"/>
        <v/>
      </c>
      <c r="D56" s="112" t="str">
        <f>IF(C56="","",IF($D$8="Nakup",IF(C56&gt;$D$36,0,IF(YEAR(C56)&lt;=YEAR($D$36)-1,'Analiza nakupa'!$D$7,'Analiza nakupa'!$D$7/12*MONTH($D$36))),IF(YEAR(C56)&gt;YEAR($D$6),0,IF(YEAR(C56)&lt;=YEAR($D$6)-1,'Analiza nakupa'!$D$7,'Analiza nakupa'!$D$7/12*MONTH($D$6)))))</f>
        <v/>
      </c>
      <c r="E56" s="112" t="str">
        <f t="shared" si="4"/>
        <v/>
      </c>
      <c r="F56" s="233" t="str">
        <f t="shared" si="15"/>
        <v/>
      </c>
      <c r="G56" s="233" t="str">
        <f t="shared" si="12"/>
        <v/>
      </c>
      <c r="H56" s="183" t="str">
        <f t="shared" si="5"/>
        <v/>
      </c>
      <c r="I56" s="97" t="str">
        <f>IF(D56="","",D56*'Analiza nakupa'!$D$8)</f>
        <v/>
      </c>
      <c r="J56" s="97" t="str">
        <f t="shared" si="6"/>
        <v/>
      </c>
      <c r="K56" s="97" t="str">
        <f t="shared" si="7"/>
        <v/>
      </c>
      <c r="L56" s="97" t="str">
        <f t="shared" si="8"/>
        <v>ni številke</v>
      </c>
      <c r="M56" s="95">
        <f t="shared" si="9"/>
        <v>0</v>
      </c>
      <c r="N56" s="97" t="str">
        <f t="shared" si="10"/>
        <v/>
      </c>
      <c r="O56" s="93"/>
      <c r="P56" s="89"/>
      <c r="Q56" s="89">
        <v>16</v>
      </c>
      <c r="R56" s="89">
        <f t="shared" si="13"/>
        <v>2033</v>
      </c>
      <c r="S56" s="89"/>
      <c r="T56" s="89"/>
    </row>
    <row r="57" spans="2:20" ht="15" thickBot="1" x14ac:dyDescent="0.35">
      <c r="B57" s="111" t="str">
        <f t="shared" si="3"/>
        <v/>
      </c>
      <c r="C57" s="102" t="str">
        <f t="shared" si="11"/>
        <v/>
      </c>
      <c r="D57" s="112" t="str">
        <f>IF(C57="","",IF($D$8="Nakup",IF(C57&gt;$D$36,0,IF(YEAR(C57)&lt;=YEAR($D$36)-1,'Analiza nakupa'!$D$7,'Analiza nakupa'!$D$7/12*MONTH($D$36))),IF(YEAR(C57)&gt;YEAR($D$6),0,IF(YEAR(C57)&lt;=YEAR($D$6)-1,'Analiza nakupa'!$D$7,'Analiza nakupa'!$D$7/12*MONTH($D$6)))))</f>
        <v/>
      </c>
      <c r="E57" s="187" t="str">
        <f t="shared" si="4"/>
        <v/>
      </c>
      <c r="F57" s="233" t="str">
        <f t="shared" si="15"/>
        <v/>
      </c>
      <c r="G57" s="248" t="str">
        <f t="shared" si="12"/>
        <v/>
      </c>
      <c r="H57" s="183" t="str">
        <f t="shared" si="5"/>
        <v/>
      </c>
      <c r="I57" s="188" t="str">
        <f>IF(D57="","",D57*'Analiza nakupa'!$D$8)</f>
        <v/>
      </c>
      <c r="J57" s="188" t="str">
        <f t="shared" si="6"/>
        <v/>
      </c>
      <c r="K57" s="97" t="str">
        <f t="shared" si="7"/>
        <v/>
      </c>
      <c r="L57" s="188" t="str">
        <f t="shared" si="8"/>
        <v>ni številke</v>
      </c>
      <c r="M57" s="189">
        <f>IF(L57=L59,0,1)</f>
        <v>0</v>
      </c>
      <c r="N57" s="188" t="str">
        <f t="shared" si="10"/>
        <v/>
      </c>
      <c r="O57" s="93"/>
      <c r="P57" s="89"/>
      <c r="Q57" s="89">
        <v>17</v>
      </c>
      <c r="R57" s="89">
        <f t="shared" si="13"/>
        <v>2034</v>
      </c>
      <c r="S57" s="89"/>
      <c r="T57" s="89"/>
    </row>
    <row r="58" spans="2:20" x14ac:dyDescent="0.3">
      <c r="B58" s="190" t="s">
        <v>8</v>
      </c>
      <c r="C58" s="191" t="s">
        <v>30</v>
      </c>
      <c r="D58" s="192">
        <f>SUM(D41:D57)</f>
        <v>0</v>
      </c>
      <c r="E58" s="192">
        <f t="shared" ref="E58:J58" si="16">SUM(E41:E57)</f>
        <v>0</v>
      </c>
      <c r="F58" s="191" t="s">
        <v>30</v>
      </c>
      <c r="G58" s="191" t="s">
        <v>30</v>
      </c>
      <c r="H58" s="191" t="s">
        <v>30</v>
      </c>
      <c r="I58" s="192">
        <f t="shared" si="16"/>
        <v>0</v>
      </c>
      <c r="J58" s="192">
        <f t="shared" si="16"/>
        <v>0</v>
      </c>
      <c r="K58" s="191" t="s">
        <v>30</v>
      </c>
      <c r="L58" s="192"/>
      <c r="M58" s="192"/>
      <c r="N58" s="193" t="s">
        <v>30</v>
      </c>
      <c r="O58" s="93"/>
      <c r="P58" s="89"/>
      <c r="Q58" s="89">
        <v>18</v>
      </c>
      <c r="R58" s="89">
        <f t="shared" si="13"/>
        <v>2035</v>
      </c>
      <c r="S58" s="89"/>
      <c r="T58" s="89"/>
    </row>
    <row r="59" spans="2:20" ht="15" thickBot="1" x14ac:dyDescent="0.35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 t="str">
        <f t="shared" si="8"/>
        <v>ni številke</v>
      </c>
      <c r="M59" s="104"/>
      <c r="N59" s="104"/>
      <c r="O59" s="105"/>
      <c r="P59" s="89"/>
      <c r="Q59" s="89"/>
      <c r="R59" s="89"/>
      <c r="S59" s="89"/>
      <c r="T59" s="89"/>
    </row>
    <row r="60" spans="2:20" s="89" customFormat="1" x14ac:dyDescent="0.3"/>
    <row r="61" spans="2:20" s="89" customFormat="1" x14ac:dyDescent="0.3">
      <c r="E61" s="113"/>
    </row>
    <row r="62" spans="2:20" s="89" customFormat="1" x14ac:dyDescent="0.3"/>
    <row r="63" spans="2:20" s="89" customFormat="1" x14ac:dyDescent="0.3"/>
    <row r="64" spans="2:20" s="89" customFormat="1" x14ac:dyDescent="0.3"/>
    <row r="65" s="89" customFormat="1" x14ac:dyDescent="0.3"/>
    <row r="66" s="89" customFormat="1" x14ac:dyDescent="0.3"/>
    <row r="67" s="89" customFormat="1" x14ac:dyDescent="0.3"/>
    <row r="68" s="89" customFormat="1" x14ac:dyDescent="0.3"/>
    <row r="69" s="89" customFormat="1" x14ac:dyDescent="0.3"/>
    <row r="70" s="89" customFormat="1" x14ac:dyDescent="0.3"/>
    <row r="71" s="89" customFormat="1" x14ac:dyDescent="0.3"/>
    <row r="72" s="89" customFormat="1" x14ac:dyDescent="0.3"/>
    <row r="73" s="89" customFormat="1" x14ac:dyDescent="0.3"/>
    <row r="74" s="89" customFormat="1" x14ac:dyDescent="0.3"/>
    <row r="75" s="89" customFormat="1" x14ac:dyDescent="0.3"/>
    <row r="76" s="89" customFormat="1" x14ac:dyDescent="0.3"/>
    <row r="77" s="89" customFormat="1" x14ac:dyDescent="0.3"/>
    <row r="78" s="89" customFormat="1" x14ac:dyDescent="0.3"/>
    <row r="79" s="89" customFormat="1" x14ac:dyDescent="0.3"/>
    <row r="80" s="89" customFormat="1" x14ac:dyDescent="0.3"/>
    <row r="81" s="89" customFormat="1" x14ac:dyDescent="0.3"/>
    <row r="82" s="89" customFormat="1" x14ac:dyDescent="0.3"/>
    <row r="83" s="89" customFormat="1" x14ac:dyDescent="0.3"/>
    <row r="84" s="89" customFormat="1" x14ac:dyDescent="0.3"/>
    <row r="85" s="89" customFormat="1" x14ac:dyDescent="0.3"/>
    <row r="86" s="89" customFormat="1" x14ac:dyDescent="0.3"/>
    <row r="87" s="89" customFormat="1" x14ac:dyDescent="0.3"/>
    <row r="88" s="89" customFormat="1" x14ac:dyDescent="0.3"/>
    <row r="89" s="89" customFormat="1" x14ac:dyDescent="0.3"/>
    <row r="90" s="89" customFormat="1" x14ac:dyDescent="0.3"/>
    <row r="91" s="89" customFormat="1" x14ac:dyDescent="0.3"/>
    <row r="92" s="89" customFormat="1" x14ac:dyDescent="0.3"/>
    <row r="93" s="89" customFormat="1" x14ac:dyDescent="0.3"/>
    <row r="94" s="89" customFormat="1" x14ac:dyDescent="0.3"/>
    <row r="95" s="89" customFormat="1" x14ac:dyDescent="0.3"/>
    <row r="96" s="89" customFormat="1" x14ac:dyDescent="0.3"/>
    <row r="97" s="89" customFormat="1" x14ac:dyDescent="0.3"/>
    <row r="98" s="89" customFormat="1" x14ac:dyDescent="0.3"/>
    <row r="99" s="89" customFormat="1" x14ac:dyDescent="0.3"/>
    <row r="100" s="89" customFormat="1" x14ac:dyDescent="0.3"/>
    <row r="101" s="89" customFormat="1" x14ac:dyDescent="0.3"/>
    <row r="102" s="89" customFormat="1" x14ac:dyDescent="0.3"/>
    <row r="103" s="89" customFormat="1" x14ac:dyDescent="0.3"/>
    <row r="104" s="89" customFormat="1" x14ac:dyDescent="0.3"/>
    <row r="105" s="89" customFormat="1" x14ac:dyDescent="0.3"/>
    <row r="106" s="89" customFormat="1" x14ac:dyDescent="0.3"/>
    <row r="107" s="89" customFormat="1" x14ac:dyDescent="0.3"/>
    <row r="108" s="89" customFormat="1" x14ac:dyDescent="0.3"/>
    <row r="109" s="89" customFormat="1" x14ac:dyDescent="0.3"/>
    <row r="110" s="89" customFormat="1" x14ac:dyDescent="0.3"/>
    <row r="111" s="89" customFormat="1" x14ac:dyDescent="0.3"/>
    <row r="112" s="89" customFormat="1" x14ac:dyDescent="0.3"/>
    <row r="113" s="89" customFormat="1" x14ac:dyDescent="0.3"/>
    <row r="114" s="89" customFormat="1" x14ac:dyDescent="0.3"/>
    <row r="115" s="89" customFormat="1" x14ac:dyDescent="0.3"/>
    <row r="116" s="89" customFormat="1" x14ac:dyDescent="0.3"/>
    <row r="117" s="89" customFormat="1" x14ac:dyDescent="0.3"/>
    <row r="118" s="89" customFormat="1" x14ac:dyDescent="0.3"/>
    <row r="119" s="89" customFormat="1" x14ac:dyDescent="0.3"/>
    <row r="120" s="89" customFormat="1" x14ac:dyDescent="0.3"/>
    <row r="121" s="89" customFormat="1" x14ac:dyDescent="0.3"/>
    <row r="122" s="89" customFormat="1" x14ac:dyDescent="0.3"/>
    <row r="123" s="89" customFormat="1" x14ac:dyDescent="0.3"/>
    <row r="124" s="89" customFormat="1" x14ac:dyDescent="0.3"/>
    <row r="125" s="89" customFormat="1" x14ac:dyDescent="0.3"/>
    <row r="126" s="89" customFormat="1" x14ac:dyDescent="0.3"/>
    <row r="127" s="89" customFormat="1" x14ac:dyDescent="0.3"/>
    <row r="128" s="89" customFormat="1" x14ac:dyDescent="0.3"/>
    <row r="129" s="89" customFormat="1" x14ac:dyDescent="0.3"/>
    <row r="130" s="89" customFormat="1" x14ac:dyDescent="0.3"/>
    <row r="131" s="89" customFormat="1" x14ac:dyDescent="0.3"/>
    <row r="132" s="89" customFormat="1" x14ac:dyDescent="0.3"/>
    <row r="133" s="89" customFormat="1" x14ac:dyDescent="0.3"/>
    <row r="134" s="89" customFormat="1" x14ac:dyDescent="0.3"/>
    <row r="135" s="89" customFormat="1" x14ac:dyDescent="0.3"/>
    <row r="136" s="89" customFormat="1" x14ac:dyDescent="0.3"/>
    <row r="137" s="89" customFormat="1" x14ac:dyDescent="0.3"/>
    <row r="138" s="89" customFormat="1" x14ac:dyDescent="0.3"/>
    <row r="139" s="89" customFormat="1" x14ac:dyDescent="0.3"/>
    <row r="140" s="89" customFormat="1" x14ac:dyDescent="0.3"/>
    <row r="141" s="89" customFormat="1" x14ac:dyDescent="0.3"/>
    <row r="142" s="89" customFormat="1" x14ac:dyDescent="0.3"/>
    <row r="143" s="89" customFormat="1" x14ac:dyDescent="0.3"/>
    <row r="144" s="89" customFormat="1" x14ac:dyDescent="0.3"/>
  </sheetData>
  <sheetProtection algorithmName="SHA-512" hashValue="Q06dmLZUaAVtz4MEPCDyGoHPYy41uKmHQ0gvorfb/c29SRID7/pMgUIAUauqo23lI3P7hP2BZreEXp2EEboGaA==" saltValue="m/Rmc7f2kh8v5UoyqLFElQ==" spinCount="100000" sheet="1" objects="1" scenarios="1"/>
  <mergeCells count="5">
    <mergeCell ref="H39:N39"/>
    <mergeCell ref="B3:D3"/>
    <mergeCell ref="B33:D33"/>
    <mergeCell ref="G34:K34"/>
    <mergeCell ref="E39:F39"/>
  </mergeCells>
  <conditionalFormatting sqref="F5:G5">
    <cfRule type="expression" dxfId="4" priority="12">
      <formula>$D$8="Poslovni najem"</formula>
    </cfRule>
  </conditionalFormatting>
  <conditionalFormatting sqref="C9:D9">
    <cfRule type="expression" dxfId="3" priority="11">
      <formula>$D$8="Poslovni najem"</formula>
    </cfRule>
  </conditionalFormatting>
  <conditionalFormatting sqref="F41:G57">
    <cfRule type="expression" dxfId="2" priority="6">
      <formula>AND($L12=0,YEAR($M$12)&lt;YEAR($D$6))</formula>
    </cfRule>
  </conditionalFormatting>
  <conditionalFormatting sqref="K41:K57">
    <cfRule type="expression" dxfId="1" priority="2">
      <formula>AND($L12=0,YEAR($M$12)&lt;YEAR($D$6))</formula>
    </cfRule>
  </conditionalFormatting>
  <conditionalFormatting sqref="N41:N57">
    <cfRule type="expression" dxfId="0" priority="1">
      <formula>AND($L12=0,YEAR($M$12)&lt;YEAR($D$6))</formula>
    </cfRule>
  </conditionalFormatting>
  <pageMargins left="0.7" right="0.7" top="0.75" bottom="0.75" header="0.3" footer="0.3"/>
  <pageSetup paperSize="9" scale="37" fitToHeight="0" orientation="portrait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F17FD9-01C4-4472-8720-0099B4B09485}">
          <x14:formula1>
            <xm:f>Izračuni!$C$52:$C$53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Izračuni</vt:lpstr>
      <vt:lpstr>Analiza nakupa</vt:lpstr>
      <vt:lpstr>Scenariji - Različna življ doba</vt:lpstr>
      <vt:lpstr>Scenariji - Različno št. stor.</vt:lpstr>
      <vt:lpstr>Analiza delovanja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 murn</cp:lastModifiedBy>
  <cp:revision/>
  <cp:lastPrinted>2018-11-14T16:14:58Z</cp:lastPrinted>
  <dcterms:created xsi:type="dcterms:W3CDTF">2018-07-21T07:05:31Z</dcterms:created>
  <dcterms:modified xsi:type="dcterms:W3CDTF">2018-11-27T21:15:14Z</dcterms:modified>
  <cp:category/>
  <cp:contentStatus/>
</cp:coreProperties>
</file>